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7795" windowHeight="12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64" i="3"/>
  <c r="D164"/>
  <c r="D24" i="2" l="1"/>
  <c r="C34"/>
  <c r="E377" i="3" l="1"/>
  <c r="E374"/>
  <c r="D374"/>
  <c r="E372"/>
  <c r="E369"/>
  <c r="E367"/>
  <c r="D367"/>
  <c r="E366"/>
  <c r="D366"/>
  <c r="E364"/>
  <c r="E363"/>
  <c r="D363"/>
  <c r="E360"/>
  <c r="D360"/>
  <c r="E358"/>
  <c r="E352"/>
  <c r="D352"/>
  <c r="D351"/>
  <c r="E350"/>
  <c r="D350"/>
  <c r="E348"/>
  <c r="D348"/>
  <c r="E346"/>
  <c r="D346"/>
  <c r="E343"/>
  <c r="E341"/>
  <c r="D341"/>
  <c r="E339"/>
  <c r="E338"/>
  <c r="D338"/>
  <c r="E331"/>
  <c r="D331"/>
  <c r="E329"/>
  <c r="D329"/>
  <c r="E327"/>
  <c r="D327"/>
  <c r="E325"/>
  <c r="D325"/>
  <c r="E324"/>
  <c r="D324"/>
  <c r="E322"/>
  <c r="D322"/>
  <c r="D320"/>
  <c r="E318"/>
  <c r="D318"/>
  <c r="E315"/>
  <c r="D315"/>
  <c r="E314"/>
  <c r="D314"/>
  <c r="E313"/>
  <c r="D313"/>
  <c r="E309"/>
  <c r="D309"/>
  <c r="E308"/>
  <c r="D308"/>
  <c r="E302"/>
  <c r="D302"/>
  <c r="E297"/>
  <c r="D297"/>
  <c r="E296"/>
  <c r="D296"/>
  <c r="E295"/>
  <c r="D295"/>
  <c r="E265"/>
  <c r="D265"/>
  <c r="E264"/>
  <c r="D264"/>
  <c r="E255"/>
  <c r="D255"/>
  <c r="E253"/>
  <c r="D253"/>
  <c r="E252"/>
  <c r="E249"/>
  <c r="D249"/>
  <c r="E247"/>
  <c r="D247"/>
  <c r="E245"/>
  <c r="D245"/>
  <c r="E238"/>
  <c r="D238"/>
  <c r="E236"/>
  <c r="D236"/>
  <c r="E235"/>
  <c r="D235"/>
  <c r="D228"/>
  <c r="E221"/>
  <c r="D221"/>
  <c r="E220"/>
  <c r="D220"/>
  <c r="E219"/>
  <c r="D219"/>
  <c r="E218"/>
  <c r="E217"/>
  <c r="D217"/>
  <c r="E216"/>
  <c r="D216"/>
  <c r="E215"/>
  <c r="D215"/>
  <c r="E213"/>
  <c r="D213"/>
  <c r="E209"/>
  <c r="D209"/>
  <c r="E203"/>
  <c r="D203"/>
  <c r="E200"/>
  <c r="E195"/>
  <c r="D195"/>
  <c r="E186"/>
  <c r="D186"/>
  <c r="E182"/>
  <c r="D182"/>
  <c r="E180"/>
  <c r="D180"/>
  <c r="E175"/>
  <c r="D175"/>
  <c r="E170"/>
  <c r="E344" l="1"/>
  <c r="E160" l="1"/>
  <c r="E159"/>
  <c r="E158"/>
  <c r="D158"/>
  <c r="E155"/>
  <c r="E153"/>
  <c r="D153"/>
  <c r="E151"/>
  <c r="E150"/>
  <c r="D150"/>
  <c r="E140"/>
  <c r="D140"/>
  <c r="E137"/>
  <c r="E134"/>
  <c r="E131"/>
  <c r="D131"/>
  <c r="E166"/>
  <c r="E122"/>
  <c r="E114"/>
  <c r="E113"/>
  <c r="E112"/>
  <c r="E111"/>
  <c r="D111"/>
  <c r="E109"/>
  <c r="D109"/>
  <c r="E108"/>
  <c r="E106"/>
  <c r="D106"/>
  <c r="E105"/>
  <c r="D105"/>
  <c r="E104"/>
  <c r="D104"/>
  <c r="E103"/>
  <c r="D103"/>
  <c r="E102"/>
  <c r="D102"/>
  <c r="E100"/>
  <c r="D100"/>
  <c r="E93"/>
  <c r="D93"/>
  <c r="E88"/>
  <c r="D88"/>
  <c r="E87"/>
  <c r="D87"/>
  <c r="E86"/>
  <c r="E83"/>
  <c r="D83"/>
  <c r="E78"/>
  <c r="E74"/>
  <c r="D74"/>
  <c r="E72"/>
  <c r="D72"/>
  <c r="D71"/>
  <c r="E68"/>
  <c r="E65"/>
  <c r="D65"/>
  <c r="E64"/>
  <c r="D64"/>
  <c r="D62"/>
  <c r="E60"/>
  <c r="E59"/>
  <c r="E57"/>
  <c r="D57"/>
  <c r="E56"/>
  <c r="D56"/>
  <c r="E53"/>
  <c r="D53"/>
  <c r="E52"/>
  <c r="D52"/>
  <c r="E51"/>
  <c r="D51"/>
  <c r="E45"/>
  <c r="D45"/>
  <c r="E44"/>
  <c r="D44"/>
  <c r="E43"/>
  <c r="D43"/>
  <c r="E41"/>
  <c r="D41"/>
  <c r="E38"/>
  <c r="D38"/>
  <c r="E37"/>
  <c r="E35"/>
  <c r="D35"/>
  <c r="E34"/>
  <c r="D34"/>
  <c r="E32"/>
  <c r="E29"/>
  <c r="E26"/>
  <c r="D26"/>
  <c r="E25"/>
  <c r="D25"/>
  <c r="E23"/>
  <c r="D23"/>
  <c r="E22"/>
  <c r="E20"/>
  <c r="D20"/>
  <c r="E19"/>
  <c r="E8"/>
  <c r="D8"/>
  <c r="E143" l="1"/>
  <c r="E128"/>
  <c r="E354" l="1"/>
  <c r="E6" l="1"/>
  <c r="E292"/>
  <c r="E276"/>
  <c r="E261"/>
  <c r="E226"/>
  <c r="E288"/>
  <c r="E207"/>
  <c r="E222"/>
  <c r="E17" i="2"/>
  <c r="E18" s="1"/>
  <c r="E382" i="3" l="1"/>
  <c r="C87" i="1"/>
  <c r="C88" l="1"/>
  <c r="C91" l="1"/>
  <c r="C90" l="1"/>
  <c r="C89"/>
  <c r="D35" i="2" l="1"/>
  <c r="C35" l="1"/>
</calcChain>
</file>

<file path=xl/sharedStrings.xml><?xml version="1.0" encoding="utf-8"?>
<sst xmlns="http://schemas.openxmlformats.org/spreadsheetml/2006/main" count="1432" uniqueCount="788">
  <si>
    <t>№ п/п</t>
  </si>
  <si>
    <t>Наименование организаций</t>
  </si>
  <si>
    <t>Дата договора</t>
  </si>
  <si>
    <t>Сумма по договору в месяц</t>
  </si>
  <si>
    <t>Предмет договора</t>
  </si>
  <si>
    <t>ПАО "ТГК-1" (копия договора)</t>
  </si>
  <si>
    <t>01.09.2005г.</t>
  </si>
  <si>
    <t>по счетчикам</t>
  </si>
  <si>
    <t>Теплоснабжение (в горячей воде) МКД</t>
  </si>
  <si>
    <t>Филиал ГУП " Водоканал Санкт-Петербурга" "Водоснабжение Санкт-Петербурга"                        (заверенная копия договора)</t>
  </si>
  <si>
    <t>На отпуск питьевой воды, прием сточных вод и загрязненных веществ МКД</t>
  </si>
  <si>
    <t>ОАО " Петербургская сбытовая компания"  (копия договора)</t>
  </si>
  <si>
    <t>13.08.2007г.</t>
  </si>
  <si>
    <t>Энергоснабжение МКД</t>
  </si>
  <si>
    <t>ООО "ЭкоСервис СПБ"</t>
  </si>
  <si>
    <t>01.06/20ТСЖ43</t>
  </si>
  <si>
    <t>01.06.2020г.</t>
  </si>
  <si>
    <t>Обслуживание контейнера Экобокс                                               (утилизация  эл. лампочек, батареек)</t>
  </si>
  <si>
    <t>ОАО"Станция профилактической дизенфекции"</t>
  </si>
  <si>
    <t>Профилактическая дератизация</t>
  </si>
  <si>
    <t>01.07.2010г.</t>
  </si>
  <si>
    <t>Мегафон Ритейл ОАО</t>
  </si>
  <si>
    <t>10552639-191</t>
  </si>
  <si>
    <t>11.08.2015г.</t>
  </si>
  <si>
    <t>Услуги мобильной связи ( 3 шт)</t>
  </si>
  <si>
    <t>ООО "РИКО -ТВ"</t>
  </si>
  <si>
    <t xml:space="preserve">832/Б43/Н </t>
  </si>
  <si>
    <t>28.12.2015г.</t>
  </si>
  <si>
    <t>ООО "Эрмис"</t>
  </si>
  <si>
    <t xml:space="preserve">№ 0.59                       доп.согл.№2                                  доп. согл.№ 3                                  </t>
  </si>
  <si>
    <t>25.12.2015                        30.12.2016г.                                    30.04.2021г.</t>
  </si>
  <si>
    <t>Техническое обслуживание лифтов</t>
  </si>
  <si>
    <t>№ Т-059/1</t>
  </si>
  <si>
    <t>Страховое публичное АО "РЕГО-ГАРАНТИЯ"</t>
  </si>
  <si>
    <t>страховой полис</t>
  </si>
  <si>
    <t>30.12.2019г.</t>
  </si>
  <si>
    <t>ИП Чудиновский В.Л.</t>
  </si>
  <si>
    <t>№ 5                          доп.согл.  б/н</t>
  </si>
  <si>
    <t xml:space="preserve"> Аварийное обслуживание МКД   (оказание услуг по ликвидации аварий и неисправностей внутридомового инженерного оборудования)                                                   </t>
  </si>
  <si>
    <t>ООО "Альянс Сервис"</t>
  </si>
  <si>
    <t>87                              88</t>
  </si>
  <si>
    <t>01.01.2020г.                                                         01.01.2020г.</t>
  </si>
  <si>
    <t xml:space="preserve">Сервисное обслуживание 4-х узлов учета тепловой энергии.                                                                           Обслуживание автоматики 4-х узлов учета тепловой энергии и 2-х станций ХВС.  </t>
  </si>
  <si>
    <t>ООО "СЦ"Эльтон"</t>
  </si>
  <si>
    <t>№ 330-06                   доп.согл.№ б/н                            доп.согл.№5</t>
  </si>
  <si>
    <t>13.09.2010г.                        20.09.2017г.                                   24.04.2018г.</t>
  </si>
  <si>
    <t>Комплексное техническое обслуживание объединенных диспечерских систем (ОДС)</t>
  </si>
  <si>
    <t xml:space="preserve">№328-06                  доп.согл.№8                  </t>
  </si>
  <si>
    <t xml:space="preserve">13.09.2010г.            24.10.2017г.                   </t>
  </si>
  <si>
    <t>Техническое обслуживание систем контроля доступа-обслуживание слаботочных ситем контроля,обслуживание систем видеоналюдения (СКД)</t>
  </si>
  <si>
    <t>ООО "Эльтон-Системс"</t>
  </si>
  <si>
    <t xml:space="preserve">10.07.2018г.                            </t>
  </si>
  <si>
    <t>ООО "Аврора"</t>
  </si>
  <si>
    <t>№ 8./8</t>
  </si>
  <si>
    <t>01.04.2017г.</t>
  </si>
  <si>
    <t>Техническое обслуживание компьютерной техники (5шт)</t>
  </si>
  <si>
    <t>ООО "Мирос"</t>
  </si>
  <si>
    <t>№ 01/21                                               доп.согл.</t>
  </si>
  <si>
    <t>01.01.2021г.                                    01.05.2021г.</t>
  </si>
  <si>
    <t xml:space="preserve">Возмездное оказание услуг: организация службы дежурных жилых домов (охрана) </t>
  </si>
  <si>
    <t>ОВО по Невскому р-ну г.СПб- филиал  ФГКУ УВО ГУ МВД РФ</t>
  </si>
  <si>
    <t xml:space="preserve">182                     доп.согл.№1 </t>
  </si>
  <si>
    <t>01.06.2015г.                        2021г.</t>
  </si>
  <si>
    <t>Услуги по охране путем эстренного вызова нарядов полиции ВО при поступлении тревожного извещения (тревожная кнопка)</t>
  </si>
  <si>
    <t>ООО "Цитадель"</t>
  </si>
  <si>
    <t>12-0098-ТО                           приложение №2</t>
  </si>
  <si>
    <t>01.06.2015г.                            25.03 2022г.</t>
  </si>
  <si>
    <t>Техническое обслуживание средств сигнализации на объекте</t>
  </si>
  <si>
    <t>ИП Медведь Н.А.</t>
  </si>
  <si>
    <t>№ 0306</t>
  </si>
  <si>
    <t>10.10.2020г.</t>
  </si>
  <si>
    <t>Юридические услуги в рамках приказного судопроизводства, искового судопроизводства, направленные на взыскание на основании действующего законодательства лица задолженности по оплате за жилое помещение и коммунальные услуги</t>
  </si>
  <si>
    <t>ЗАО " Петроэлектросбыт"</t>
  </si>
  <si>
    <t>№ 420-16/154-1</t>
  </si>
  <si>
    <t xml:space="preserve">Прием платежей </t>
  </si>
  <si>
    <t>№ 45/11/П                доп.согл. №1</t>
  </si>
  <si>
    <t>05.08.11  20.06.11.16г.</t>
  </si>
  <si>
    <t>Об осуществлении информационного и технологического взаимодействия</t>
  </si>
  <si>
    <t>Сберегательный банк РФ                                                           (заверенная копия договора)</t>
  </si>
  <si>
    <t>№ 807408986</t>
  </si>
  <si>
    <t>09.12.2008г.</t>
  </si>
  <si>
    <t>Договор на открытие банковского счета</t>
  </si>
  <si>
    <t>Сберегательный банк РФ</t>
  </si>
  <si>
    <t>О порядке выпуска и обслуживания международных  карт</t>
  </si>
  <si>
    <t>Соглашение №1</t>
  </si>
  <si>
    <t>16.06.2016г.</t>
  </si>
  <si>
    <t>Обмен документов в электронном виде</t>
  </si>
  <si>
    <t>Управление Пенсионного фонда РФ в Невском районе</t>
  </si>
  <si>
    <t>Соглашение б/н</t>
  </si>
  <si>
    <t>11.03.2015г.</t>
  </si>
  <si>
    <t>Об обмене электронными документами в системе электронного документооборота ПФР по телекоммуникационным каналам связи</t>
  </si>
  <si>
    <t>ООО "Центр электронной отчетности" (СБиС)</t>
  </si>
  <si>
    <t>ЦО-0000419</t>
  </si>
  <si>
    <t>01.03.2019г.</t>
  </si>
  <si>
    <t>Права использования аккаунта СБИС ЭО-Базовый в течении      1 года</t>
  </si>
  <si>
    <t>ООО " КВАРТА-С"</t>
  </si>
  <si>
    <t>457/21</t>
  </si>
  <si>
    <t xml:space="preserve"> 23.06.2021г.</t>
  </si>
  <si>
    <t>б/н                              доп. согл.</t>
  </si>
  <si>
    <t>09.09.2015г.                                   24.12.2018г.</t>
  </si>
  <si>
    <t>Информационный обмен</t>
  </si>
  <si>
    <t>Санкт-Петербургское государственноен казенное учреждение "Жилищное агенство Невского района Санкт-Петербурга"                                (заверенная копия договора)</t>
  </si>
  <si>
    <t>167                                            доп.согл. № 1</t>
  </si>
  <si>
    <t>01.01.2005г.                   04.03.2016г.</t>
  </si>
  <si>
    <t>Услуги по паспортно-регистрационному обслуживанию собственников</t>
  </si>
  <si>
    <t>167/10                                доп. согл.№2/12</t>
  </si>
  <si>
    <t>03.03.2010г.                           01.02.2012г.</t>
  </si>
  <si>
    <t>Содержание и ремонт общего имущества в многоквартирных домах, находящиеся в управлении ТСЖ, в которых расположены жилые и нежилые помещения , являющиеся собственностью Санкт-Петербурга, и предоставление коммунальных услуг</t>
  </si>
  <si>
    <t>Петербургский социальный комерческий банк</t>
  </si>
  <si>
    <t xml:space="preserve">45/11/П                </t>
  </si>
  <si>
    <t>Осуществление информационного и технического взаимодействия</t>
  </si>
  <si>
    <t>ИП Денищенко  Н.А.</t>
  </si>
  <si>
    <t>Услуги по бухгалтерскому обслуживанию ТСЖ</t>
  </si>
  <si>
    <t>Самозанятое лицо Казарина А.Г.</t>
  </si>
  <si>
    <t>Возмездное оказание расчетных услуг, работа в кварте-С, ввод показаний счечиков, ввод реестров оплат, сверка реестров оплат с выпиской банка, начисление квартплаты за месяц, прием жильцов</t>
  </si>
  <si>
    <t>ИП Кочетков Ю.В.</t>
  </si>
  <si>
    <t>№2374</t>
  </si>
  <si>
    <t xml:space="preserve">   </t>
  </si>
  <si>
    <r>
      <t xml:space="preserve"> 7000,00                     </t>
    </r>
    <r>
      <rPr>
        <sz val="8"/>
        <color theme="1"/>
        <rFont val="Calibri"/>
        <family val="2"/>
        <charset val="204"/>
        <scheme val="minor"/>
      </rPr>
      <t xml:space="preserve"> за год</t>
    </r>
  </si>
  <si>
    <t>Доступ к вебинарам в 2019г.,2020г.,2021г.</t>
  </si>
  <si>
    <t>ООО "Ермак"</t>
  </si>
  <si>
    <t>AF0102028/ЛД/2019-1</t>
  </si>
  <si>
    <t>07.08.2019г.</t>
  </si>
  <si>
    <t xml:space="preserve">62911,00                                      за год </t>
  </si>
  <si>
    <t>Использование Базы данных: Электронная система "Управление многоквартирным домом", 12 месяцев</t>
  </si>
  <si>
    <t>ИП Чигвинцев Александр Владимирович</t>
  </si>
  <si>
    <t xml:space="preserve">публичная оферта </t>
  </si>
  <si>
    <t>Размещение информации  в ГИС ЖКХ</t>
  </si>
  <si>
    <t>25.10.2021г.</t>
  </si>
  <si>
    <t>Основные работы</t>
  </si>
  <si>
    <t>ИТОГО по основным работам</t>
  </si>
  <si>
    <t>Ревизор                               Яковлева Л.Х.</t>
  </si>
  <si>
    <t>Организации, предосталяющие услуги ТСЖ (расходы ТСЖ) в 2022г.</t>
  </si>
  <si>
    <t>Приложение № 1</t>
  </si>
  <si>
    <r>
      <t xml:space="preserve">05.08.2011г.       </t>
    </r>
    <r>
      <rPr>
        <sz val="8"/>
        <color theme="1"/>
        <rFont val="Calibri"/>
        <family val="2"/>
        <charset val="204"/>
        <scheme val="minor"/>
      </rPr>
      <t xml:space="preserve"> в редакции от   </t>
    </r>
    <r>
      <rPr>
        <sz val="11"/>
        <color theme="1"/>
        <rFont val="Calibri"/>
        <family val="2"/>
        <charset val="204"/>
        <scheme val="minor"/>
      </rPr>
      <t xml:space="preserve">                     07.11 2016г.</t>
    </r>
  </si>
  <si>
    <t>Базовое обслуживание программного продукта "КВАРТА-С" : расчет квартплаты и ввод показаний счетчиков через интернет для 1-С6 Предпиятие 8проф.      до 23.06.2022г</t>
  </si>
  <si>
    <t>14.02.2022г.</t>
  </si>
  <si>
    <t>№ Т-059/2</t>
  </si>
  <si>
    <t>22.03.2022г.</t>
  </si>
  <si>
    <t>Приложение № 2</t>
  </si>
  <si>
    <t>ООО "ЮнетКоммуникейшин"                  (копия договора)</t>
  </si>
  <si>
    <t>№ 4ТР                                 доп.соглашение № 1</t>
  </si>
  <si>
    <t>01.06.2010г.                                  01.12 2011г.</t>
  </si>
  <si>
    <t>размещение телекомуникационного оборудования сетей связи</t>
  </si>
  <si>
    <t>ООО "СкайНет"</t>
  </si>
  <si>
    <t>№ 01052011/08                                               Доп.соглашение № 2</t>
  </si>
  <si>
    <t>01.05.2011г.                             01.05 2013г.</t>
  </si>
  <si>
    <t>организация доступа в тех.помещениях и распред. щитках зд-я для монтажа слаботочных линий связи и предосталению услуг связи жителям</t>
  </si>
  <si>
    <t>№С-39-36</t>
  </si>
  <si>
    <t>13.10.2011г.</t>
  </si>
  <si>
    <t>обеспечение транзита кабелей связи по территории дома</t>
  </si>
  <si>
    <t>ООО"Балтийская коммуникационная компания" "БТК"</t>
  </si>
  <si>
    <t>установка коммуникационного оборудования и его обслуживание</t>
  </si>
  <si>
    <t xml:space="preserve">АО "ЭР-Телеком Холдинг" InterZet с 01.09.2017г. правопреемник                                              ООО " Перспектива"  и    правопреемник ООО "ВЕСТ КОЛЛ ЛТД"                  </t>
  </si>
  <si>
    <t>размещение коммуникационного оборудования и кабельные трассы</t>
  </si>
  <si>
    <t xml:space="preserve"> ПАО "Ростелеком"</t>
  </si>
  <si>
    <t>№ СТ-3423601-05-20</t>
  </si>
  <si>
    <t>20.05.2020г.</t>
  </si>
  <si>
    <t>ООО "ИНФОТЕХ" (ТМ ЛАЙНЕР)</t>
  </si>
  <si>
    <t>№ ДСУ-Нпр/дБольш43</t>
  </si>
  <si>
    <t>18.01.2016г.</t>
  </si>
  <si>
    <t xml:space="preserve"> ООО"Викинг"</t>
  </si>
  <si>
    <t>№ 2702/20</t>
  </si>
  <si>
    <t>01.04.2020г.</t>
  </si>
  <si>
    <t>Аренда помещения по пр.Б.43. ( 20кв.м)</t>
  </si>
  <si>
    <t>ООО "ТеплоСервисНева"ТСН"</t>
  </si>
  <si>
    <t>№ 1405/20</t>
  </si>
  <si>
    <t>14.05.2020г.</t>
  </si>
  <si>
    <t>№</t>
  </si>
  <si>
    <t>Платные услуги ТСЖ</t>
  </si>
  <si>
    <t>договор, дата</t>
  </si>
  <si>
    <t xml:space="preserve"> Хранение колес по пр.Большевиков,43, по ул.Тельмана,49</t>
  </si>
  <si>
    <t>Договора заключены с каждым жителем, сдающим на хранение колеса</t>
  </si>
  <si>
    <t>договор б/н                              от 01.12.2016г.</t>
  </si>
  <si>
    <t>Итого</t>
  </si>
  <si>
    <t>№  п/п</t>
  </si>
  <si>
    <t>Платные услуги ТСЖ и пени</t>
  </si>
  <si>
    <t xml:space="preserve"> Отключение стояка  (разовая)</t>
  </si>
  <si>
    <t xml:space="preserve"> Доп.сбор за мусор (разовая)</t>
  </si>
  <si>
    <t xml:space="preserve"> Пени</t>
  </si>
  <si>
    <t xml:space="preserve"> ХВС повыш коэф</t>
  </si>
  <si>
    <t xml:space="preserve"> ГВС повыш.коэф.</t>
  </si>
  <si>
    <t>Итого платные услуги ТСЖ и пени</t>
  </si>
  <si>
    <t>Ревизор                                   Яковлева Л.Х.</t>
  </si>
  <si>
    <t>Организации, которым ТСЖ предоставляет услуги (Доходы ТСЖ) в 2022г.</t>
  </si>
  <si>
    <t>ПАО "Ростелеком" правоприемник ОАО "Северо-Западный Телеком"   (копия договора)</t>
  </si>
  <si>
    <t>Работы по поставке и замене частотного преобразователя АТV71 11 кВт (АLTVFR) на пассажирский лифт по ул.Тельмана,49 парадная ,2</t>
  </si>
  <si>
    <t>ООО"ГК"Патриот"</t>
  </si>
  <si>
    <t>18-22-1-АППЗ</t>
  </si>
  <si>
    <t>01.06.2022г.</t>
  </si>
  <si>
    <t>Техническое обслуживание системы автоматизированной противопожарной защиты (АППЗ)</t>
  </si>
  <si>
    <t>Частное образовательное учреждение дополнительного профессионального образования "Учебный центр "ПРОГРЕСС"</t>
  </si>
  <si>
    <t>30.05.2022г.</t>
  </si>
  <si>
    <t>03.08.2022г.</t>
  </si>
  <si>
    <t>04.05.2022г.</t>
  </si>
  <si>
    <t>Работы по ремонту кровли   ул.Тельмана,49 (гарантия -1 год)</t>
  </si>
  <si>
    <t xml:space="preserve">№ 13/07/22                                         </t>
  </si>
  <si>
    <t xml:space="preserve">№ 01/05/22                                           </t>
  </si>
  <si>
    <t xml:space="preserve">№ 01/08/22                                           </t>
  </si>
  <si>
    <t>03.07.2022г.</t>
  </si>
  <si>
    <t>Ремонт кровли</t>
  </si>
  <si>
    <t>ООО"Строй МД"</t>
  </si>
  <si>
    <t>№ 46</t>
  </si>
  <si>
    <t>25.07.2022г.</t>
  </si>
  <si>
    <t>Работы по аварийному ремонту межпанельных стыков (141п.м.), ремонт оконных откосов (7шт) по пр.Большевиков,43 и по ул.Тельмана,49 (гарантия -36 месяцев)</t>
  </si>
  <si>
    <t>№ 14</t>
  </si>
  <si>
    <t>06.05.2022г.</t>
  </si>
  <si>
    <t>Работы по  ремонту межпанельных стыков (357п.м.) по ул.Тельмана,49 (гарантия -36 месяцев)</t>
  </si>
  <si>
    <t>№ 26</t>
  </si>
  <si>
    <t>26.05.2022г.</t>
  </si>
  <si>
    <t>Работы по  ремонту межпанельных стыков (1161п.м.) по ул.Тельмана,49 (гарантия -36 месяцев)</t>
  </si>
  <si>
    <t>ИП Котов Артур Николаевич</t>
  </si>
  <si>
    <t>№ 5</t>
  </si>
  <si>
    <t>№ 2</t>
  </si>
  <si>
    <t>17.05.2022г.</t>
  </si>
  <si>
    <t>№ 7</t>
  </si>
  <si>
    <t>22.06.2022г.</t>
  </si>
  <si>
    <t>Работы по восстановлению асфальтобетонного покрытия (83,03кв.м) по пр. Большевиков,43</t>
  </si>
  <si>
    <t>№ 8</t>
  </si>
  <si>
    <t>28.06.2022г.</t>
  </si>
  <si>
    <t>№ 1</t>
  </si>
  <si>
    <t>№ 3</t>
  </si>
  <si>
    <t>23.05.2022г.</t>
  </si>
  <si>
    <t>№ 4</t>
  </si>
  <si>
    <t>№ 6</t>
  </si>
  <si>
    <t>06.06.2022г.</t>
  </si>
  <si>
    <t>№ 9</t>
  </si>
  <si>
    <t>11.08.2022г.</t>
  </si>
  <si>
    <t>№ 10</t>
  </si>
  <si>
    <t>12.09.2022г.</t>
  </si>
  <si>
    <t>Ремонт межпанельных швов</t>
  </si>
  <si>
    <t>Ремонт асфальтобетонного покрытия</t>
  </si>
  <si>
    <t>Капитальный ремонт отмостки</t>
  </si>
  <si>
    <t>№ 39</t>
  </si>
  <si>
    <t xml:space="preserve"> Покраска фасадов в 2-а слоя  по ул.Т.49 в объеме-2474 кв.м.</t>
  </si>
  <si>
    <t>Работы по цементированию дыр в колодцах по пр. Большевиков,43</t>
  </si>
  <si>
    <t>Капитальный ремонт межпанельных швов по пр.Большевиков.43 (267 п.м.) (гарантия -1 год)</t>
  </si>
  <si>
    <t>Капитальный ремонт межпанельных швов по пр.Большевиков,43 (72 п.м.)(гарантия -1 год)</t>
  </si>
  <si>
    <t>Капитальный ремонт межпанельных швов по ул. Тельмана,49(713 п.м.) (гарантия -3 года)</t>
  </si>
  <si>
    <t>Капитальный ремонт межпанельных швов по пр.Большевиков,43(21п.м) (гарантия -1 год)</t>
  </si>
  <si>
    <t>Частичный ремонт межпанельных швов по пр.Большевиков,43 (232п.м) (гарантия -1 год)</t>
  </si>
  <si>
    <t>Частичный ремонт межпанельных швов             (96 п.м.) по ул. Тельмана,49  и пр.Большевиков,43  (гарантия -1 год)</t>
  </si>
  <si>
    <t>Капитальный ремонт отмостки  по пр. Большевиков,43 и ул.Тельмана,49 (73 п.м.) (гарантия -1 год)</t>
  </si>
  <si>
    <t>Капитальный ремонт отмостки  по пр. Большевиков,43 и ул.Тельмана,49    (11п.м.) (гарантия -1 год)</t>
  </si>
  <si>
    <t>АО"Невский экологический оператор"</t>
  </si>
  <si>
    <t>1257091-2022/ТКО</t>
  </si>
  <si>
    <t>30.12.2021г.</t>
  </si>
  <si>
    <t>Услуги телефонной связи, пять телефонов (нет доп. соглашения на приемника ПАО "Ростелеком")</t>
  </si>
  <si>
    <t>15-49882/00-Н                                                             доп.согл.№1</t>
  </si>
  <si>
    <t>21.06.2005г.                                 2022г.</t>
  </si>
  <si>
    <t>№ 01/21                                               доп.согл.                          доп.согл.№2</t>
  </si>
  <si>
    <t>01.01.2021г.                                    01.05.2021г.                               01.05.2022г.</t>
  </si>
  <si>
    <t>01.08.2016г.</t>
  </si>
  <si>
    <t>Петербургский социальный  комерческий банк (АО"ПСКБ")</t>
  </si>
  <si>
    <t>№ 12</t>
  </si>
  <si>
    <t>Номер                     договора</t>
  </si>
  <si>
    <t>Номер                   договора</t>
  </si>
  <si>
    <t>оплата до 5-го числа месяца, следующего за расчетным</t>
  </si>
  <si>
    <t xml:space="preserve">010116.                          доп.согл.№1                         доп.согл. №3           доп.сог.   №4   доп. согл. №5          доп.согл.б/п   </t>
  </si>
  <si>
    <t>01.01.2016г.                        31.03.2017г.                      31.03.2018г.                    10.01.2019г.                                     27.01.2020г.                             29.04.2022г.</t>
  </si>
  <si>
    <t>28.01.2020г.                            01.05.2021г.                              04.2022г.</t>
  </si>
  <si>
    <t>№ 2801/20         Доп.согл.б/п                           Доп.согл. б/п</t>
  </si>
  <si>
    <t>359                           доп.согл. №1                              доп.согл.№ 2</t>
  </si>
  <si>
    <t xml:space="preserve"> 01.12.2020г.                  11.10.2021                   07.11.2022г.</t>
  </si>
  <si>
    <r>
      <t xml:space="preserve">Техническое обслуживание и ремонт АППЗ.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Договор расторгнут с 1.07.2022г.             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</t>
    </r>
  </si>
  <si>
    <t>№382-07</t>
  </si>
  <si>
    <t>№55132848                           доп.согл.б/н</t>
  </si>
  <si>
    <t>18.03.2009г.                               04.02.2013г.</t>
  </si>
  <si>
    <t>Санк-Петербургское государственное унитарное предприятие "Вычислительный центр коллективного пользовани многоотраслевого комплекса жилищного хозяйства " (ГУП ВЦКП "Жилищное хозяйство")</t>
  </si>
  <si>
    <t>№ 11</t>
  </si>
  <si>
    <t>19.09.2022г.</t>
  </si>
  <si>
    <t>Грунтовка, покраска фасадов  по ул.Тельмана,49, балконов</t>
  </si>
  <si>
    <t>12.10.2022г.</t>
  </si>
  <si>
    <t>оплата до 10-го числа месяца, следующего за расчетным</t>
  </si>
  <si>
    <t>ООО "Эксперт"</t>
  </si>
  <si>
    <t>№ 519/19-10-22</t>
  </si>
  <si>
    <t>19.10.2022г.</t>
  </si>
  <si>
    <t xml:space="preserve">№ 22/11-2022                                           </t>
  </si>
  <si>
    <t>22.22.2022г.</t>
  </si>
  <si>
    <t>Страхование  опасного объекта ( лифтов)                                                                с 31.01.2022г. по 30.12.2023г.</t>
  </si>
  <si>
    <t>ООО "Культура"</t>
  </si>
  <si>
    <t>Услуги по подготовке и проведению новогодней шоу-программы для детей</t>
  </si>
  <si>
    <t>Самозанятый гражданин Зембинский Дмитрий Александрович</t>
  </si>
  <si>
    <t>№30.12-22/М-11</t>
  </si>
  <si>
    <t>30.12.2022г.</t>
  </si>
  <si>
    <t>не пользовались в 2022</t>
  </si>
  <si>
    <t>№ 149</t>
  </si>
  <si>
    <t>07.05.2015г.                                    01.06.2021г.</t>
  </si>
  <si>
    <t>№ С-39-7ПК                           доп.соглашение №2</t>
  </si>
  <si>
    <t>Работы по поставке и замене электродвигателя 4АН16096/18 основного привода в сборе  на пассажирский лифт по пр.Большевиков,43 парадная,  5</t>
  </si>
  <si>
    <r>
      <t xml:space="preserve">130000,00                </t>
    </r>
    <r>
      <rPr>
        <sz val="8"/>
        <color theme="1"/>
        <rFont val="Calibri"/>
        <family val="2"/>
        <charset val="204"/>
        <scheme val="minor"/>
      </rPr>
      <t xml:space="preserve">  с 1.05.2021 </t>
    </r>
    <r>
      <rPr>
        <sz val="10"/>
        <color theme="1"/>
        <rFont val="Calibri"/>
        <family val="2"/>
        <charset val="204"/>
        <scheme val="minor"/>
      </rPr>
      <t xml:space="preserve">     190000,00             </t>
    </r>
    <r>
      <rPr>
        <sz val="8"/>
        <color theme="1"/>
        <rFont val="Calibri"/>
        <family val="2"/>
        <charset val="204"/>
        <scheme val="minor"/>
      </rPr>
      <t xml:space="preserve"> с 01.05.2022г.  </t>
    </r>
    <r>
      <rPr>
        <sz val="10"/>
        <color theme="1"/>
        <rFont val="Calibri"/>
        <family val="2"/>
        <charset val="204"/>
        <scheme val="minor"/>
      </rPr>
      <t xml:space="preserve">                </t>
    </r>
    <r>
      <rPr>
        <b/>
        <sz val="10"/>
        <color theme="1"/>
        <rFont val="Calibri"/>
        <family val="2"/>
        <charset val="204"/>
        <scheme val="minor"/>
      </rPr>
      <t xml:space="preserve">  220000,00     </t>
    </r>
    <r>
      <rPr>
        <sz val="10"/>
        <color theme="1"/>
        <rFont val="Calibri"/>
        <family val="2"/>
        <charset val="204"/>
        <scheme val="minor"/>
      </rPr>
      <t xml:space="preserve">          </t>
    </r>
    <r>
      <rPr>
        <sz val="8"/>
        <color theme="1"/>
        <rFont val="Calibri"/>
        <family val="2"/>
        <charset val="204"/>
        <scheme val="minor"/>
      </rPr>
      <t xml:space="preserve">   в месяц</t>
    </r>
  </si>
  <si>
    <r>
      <t xml:space="preserve">48734,00               </t>
    </r>
    <r>
      <rPr>
        <sz val="8"/>
        <color theme="1"/>
        <rFont val="Calibri"/>
        <family val="2"/>
        <charset val="204"/>
        <scheme val="minor"/>
      </rPr>
      <t xml:space="preserve"> с 01.05.2021г.    </t>
    </r>
    <r>
      <rPr>
        <sz val="11"/>
        <color theme="1"/>
        <rFont val="Calibri"/>
        <family val="2"/>
        <charset val="204"/>
        <scheme val="minor"/>
      </rPr>
      <t xml:space="preserve">    </t>
    </r>
    <r>
      <rPr>
        <b/>
        <sz val="11"/>
        <color theme="1"/>
        <rFont val="Calibri"/>
        <family val="2"/>
        <charset val="204"/>
        <scheme val="minor"/>
      </rPr>
      <t xml:space="preserve"> 85001,90 </t>
    </r>
    <r>
      <rPr>
        <sz val="11"/>
        <color theme="1"/>
        <rFont val="Calibri"/>
        <family val="2"/>
        <charset val="204"/>
        <scheme val="minor"/>
      </rPr>
      <t xml:space="preserve">                 </t>
    </r>
    <r>
      <rPr>
        <sz val="8"/>
        <color theme="1"/>
        <rFont val="Calibri"/>
        <family val="2"/>
        <charset val="204"/>
        <scheme val="minor"/>
      </rPr>
      <t>в месяц</t>
    </r>
  </si>
  <si>
    <r>
      <rPr>
        <b/>
        <sz val="11"/>
        <color theme="1"/>
        <rFont val="Calibri"/>
        <family val="2"/>
        <charset val="204"/>
        <scheme val="minor"/>
      </rPr>
      <t xml:space="preserve">32500,00       </t>
    </r>
    <r>
      <rPr>
        <sz val="11"/>
        <color theme="1"/>
        <rFont val="Calibri"/>
        <family val="2"/>
        <charset val="204"/>
        <scheme val="minor"/>
      </rPr>
      <t xml:space="preserve">                     </t>
    </r>
    <r>
      <rPr>
        <sz val="8"/>
        <color theme="1"/>
        <rFont val="Calibri"/>
        <family val="2"/>
        <charset val="204"/>
        <scheme val="minor"/>
      </rPr>
      <t xml:space="preserve"> за год</t>
    </r>
  </si>
  <si>
    <r>
      <rPr>
        <b/>
        <sz val="11"/>
        <color theme="1"/>
        <rFont val="Calibri"/>
        <family val="2"/>
        <charset val="204"/>
        <scheme val="minor"/>
      </rPr>
      <t>4500,00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   за год</t>
    </r>
  </si>
  <si>
    <r>
      <t xml:space="preserve">2490 ,00                    </t>
    </r>
    <r>
      <rPr>
        <sz val="8"/>
        <color theme="1"/>
        <rFont val="Calibri"/>
        <family val="2"/>
        <charset val="204"/>
        <scheme val="minor"/>
      </rPr>
      <t xml:space="preserve"> с 01.10.2017   </t>
    </r>
    <r>
      <rPr>
        <sz val="11"/>
        <color theme="1"/>
        <rFont val="Calibri"/>
        <family val="2"/>
        <charset val="204"/>
        <scheme val="minor"/>
      </rPr>
      <t xml:space="preserve">          2864,00                     </t>
    </r>
    <r>
      <rPr>
        <sz val="8"/>
        <color theme="1"/>
        <rFont val="Calibri"/>
        <family val="2"/>
        <charset val="204"/>
        <scheme val="minor"/>
      </rPr>
      <t>с 01.06.2018г.</t>
    </r>
    <r>
      <rPr>
        <sz val="11"/>
        <color theme="1"/>
        <rFont val="Calibri"/>
        <family val="2"/>
        <charset val="204"/>
        <scheme val="minor"/>
      </rPr>
      <t xml:space="preserve">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4090,00  </t>
    </r>
    <r>
      <rPr>
        <sz val="11"/>
        <color theme="1"/>
        <rFont val="Calibri"/>
        <family val="2"/>
        <charset val="204"/>
        <scheme val="minor"/>
      </rPr>
      <t xml:space="preserve">            </t>
    </r>
    <r>
      <rPr>
        <sz val="8"/>
        <color theme="1"/>
        <rFont val="Calibri"/>
        <family val="2"/>
        <charset val="204"/>
        <scheme val="minor"/>
      </rPr>
      <t xml:space="preserve"> в месяц</t>
    </r>
  </si>
  <si>
    <r>
      <t xml:space="preserve">30835,00                 </t>
    </r>
    <r>
      <rPr>
        <sz val="8"/>
        <color theme="1"/>
        <rFont val="Calibri"/>
        <family val="2"/>
        <charset val="204"/>
        <scheme val="minor"/>
      </rPr>
      <t xml:space="preserve">  с 01.11.2017</t>
    </r>
    <r>
      <rPr>
        <sz val="11"/>
        <color theme="1"/>
        <rFont val="Calibri"/>
        <family val="2"/>
        <charset val="204"/>
        <scheme val="minor"/>
      </rPr>
      <t xml:space="preserve">               </t>
    </r>
    <r>
      <rPr>
        <b/>
        <sz val="11"/>
        <color theme="1"/>
        <rFont val="Calibri"/>
        <family val="2"/>
        <charset val="204"/>
        <scheme val="minor"/>
      </rPr>
      <t xml:space="preserve">31602,74    </t>
    </r>
    <r>
      <rPr>
        <sz val="11"/>
        <color theme="1"/>
        <rFont val="Calibri"/>
        <family val="2"/>
        <charset val="204"/>
        <scheme val="minor"/>
      </rPr>
      <t xml:space="preserve">                 </t>
    </r>
  </si>
  <si>
    <r>
      <t xml:space="preserve">12000,00                                                             18000,00                </t>
    </r>
    <r>
      <rPr>
        <sz val="9"/>
        <color theme="1"/>
        <rFont val="Calibri"/>
        <family val="2"/>
        <charset val="204"/>
        <scheme val="minor"/>
      </rPr>
      <t>в месяц</t>
    </r>
  </si>
  <si>
    <r>
      <t xml:space="preserve">6200,00 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1"/>
        <color theme="1"/>
        <rFont val="Calibri"/>
        <family val="2"/>
        <charset val="204"/>
        <scheme val="minor"/>
      </rPr>
      <t xml:space="preserve">                </t>
    </r>
    <r>
      <rPr>
        <sz val="8"/>
        <color theme="1"/>
        <rFont val="Calibri"/>
        <family val="2"/>
        <charset val="204"/>
        <scheme val="minor"/>
      </rPr>
      <t xml:space="preserve">  в месяцц              </t>
    </r>
    <r>
      <rPr>
        <sz val="11"/>
        <color theme="1"/>
        <rFont val="Calibri"/>
        <family val="2"/>
        <charset val="204"/>
        <scheme val="minor"/>
      </rPr>
      <t xml:space="preserve">                </t>
    </r>
  </si>
  <si>
    <r>
      <rPr>
        <b/>
        <sz val="11"/>
        <color theme="1"/>
        <rFont val="Calibri"/>
        <family val="2"/>
        <charset val="204"/>
        <scheme val="minor"/>
      </rPr>
      <t xml:space="preserve">8471,64  </t>
    </r>
    <r>
      <rPr>
        <sz val="11"/>
        <color theme="1"/>
        <rFont val="Calibri"/>
        <family val="2"/>
        <charset val="204"/>
        <scheme val="minor"/>
      </rPr>
      <t xml:space="preserve">                   </t>
    </r>
    <r>
      <rPr>
        <sz val="8"/>
        <color theme="1"/>
        <rFont val="Calibri"/>
        <family val="2"/>
        <charset val="204"/>
        <scheme val="minor"/>
      </rPr>
      <t xml:space="preserve">   в месяц</t>
    </r>
  </si>
  <si>
    <r>
      <rPr>
        <b/>
        <sz val="11"/>
        <color theme="1"/>
        <rFont val="Calibri"/>
        <family val="2"/>
        <charset val="204"/>
        <scheme val="minor"/>
      </rPr>
      <t>3000,00</t>
    </r>
    <r>
      <rPr>
        <sz val="11"/>
        <color theme="1"/>
        <rFont val="Calibri"/>
        <family val="2"/>
        <charset val="204"/>
        <scheme val="minor"/>
      </rPr>
      <t xml:space="preserve">                       </t>
    </r>
    <r>
      <rPr>
        <sz val="8"/>
        <color theme="1"/>
        <rFont val="Calibri"/>
        <family val="2"/>
        <charset val="204"/>
        <scheme val="minor"/>
      </rPr>
      <t xml:space="preserve"> в месяц</t>
    </r>
  </si>
  <si>
    <r>
      <t xml:space="preserve">130000,00               </t>
    </r>
    <r>
      <rPr>
        <sz val="8"/>
        <color theme="1"/>
        <rFont val="Calibri"/>
        <family val="2"/>
        <charset val="204"/>
        <scheme val="minor"/>
      </rPr>
      <t xml:space="preserve">   с 1.05.2021 </t>
    </r>
    <r>
      <rPr>
        <sz val="11"/>
        <color theme="1"/>
        <rFont val="Calibri"/>
        <family val="2"/>
        <charset val="204"/>
        <scheme val="minor"/>
      </rPr>
      <t xml:space="preserve">     190000,00           </t>
    </r>
    <r>
      <rPr>
        <sz val="8"/>
        <color theme="1"/>
        <rFont val="Calibri"/>
        <family val="2"/>
        <charset val="204"/>
        <scheme val="minor"/>
      </rPr>
      <t xml:space="preserve">   с 01.05.2022г.     </t>
    </r>
    <r>
      <rPr>
        <sz val="11"/>
        <color theme="1"/>
        <rFont val="Calibri"/>
        <family val="2"/>
        <charset val="204"/>
        <scheme val="minor"/>
      </rPr>
      <t xml:space="preserve">               </t>
    </r>
    <r>
      <rPr>
        <b/>
        <sz val="11"/>
        <color theme="1"/>
        <rFont val="Calibri"/>
        <family val="2"/>
        <charset val="204"/>
        <scheme val="minor"/>
      </rPr>
      <t xml:space="preserve">220000,00    </t>
    </r>
    <r>
      <rPr>
        <sz val="11"/>
        <color theme="1"/>
        <rFont val="Calibri"/>
        <family val="2"/>
        <charset val="204"/>
        <scheme val="minor"/>
      </rPr>
      <t xml:space="preserve">           </t>
    </r>
    <r>
      <rPr>
        <sz val="8"/>
        <color theme="1"/>
        <rFont val="Calibri"/>
        <family val="2"/>
        <charset val="204"/>
        <scheme val="minor"/>
      </rPr>
      <t xml:space="preserve">   в месяц</t>
    </r>
  </si>
  <si>
    <r>
      <rPr>
        <b/>
        <sz val="11"/>
        <color theme="1"/>
        <rFont val="Calibri"/>
        <family val="2"/>
        <charset val="204"/>
        <scheme val="minor"/>
      </rPr>
      <t>3471,00</t>
    </r>
    <r>
      <rPr>
        <sz val="11"/>
        <color theme="1"/>
        <rFont val="Calibri"/>
        <family val="2"/>
        <charset val="204"/>
        <scheme val="minor"/>
      </rPr>
      <t xml:space="preserve">                  </t>
    </r>
    <r>
      <rPr>
        <sz val="9"/>
        <color theme="1"/>
        <rFont val="Calibri"/>
        <family val="2"/>
        <charset val="204"/>
        <scheme val="minor"/>
      </rPr>
      <t xml:space="preserve">  в месяц</t>
    </r>
  </si>
  <si>
    <r>
      <t xml:space="preserve">997,5              </t>
    </r>
    <r>
      <rPr>
        <sz val="8"/>
        <color theme="1"/>
        <rFont val="Calibri"/>
        <family val="2"/>
        <charset val="204"/>
        <scheme val="minor"/>
      </rPr>
      <t xml:space="preserve">    с 01.01.2022г.                </t>
    </r>
    <r>
      <rPr>
        <b/>
        <sz val="11"/>
        <color theme="1"/>
        <rFont val="Calibri"/>
        <family val="2"/>
        <charset val="204"/>
        <scheme val="minor"/>
      </rPr>
      <t xml:space="preserve"> 1057,35  </t>
    </r>
    <r>
      <rPr>
        <b/>
        <sz val="8"/>
        <color theme="1"/>
        <rFont val="Calibri"/>
        <family val="2"/>
        <charset val="204"/>
        <scheme val="minor"/>
      </rPr>
      <t xml:space="preserve">   </t>
    </r>
    <r>
      <rPr>
        <sz val="8"/>
        <color theme="1"/>
        <rFont val="Calibri"/>
        <family val="2"/>
        <charset val="204"/>
        <scheme val="minor"/>
      </rPr>
      <t xml:space="preserve">                      в месяц</t>
    </r>
  </si>
  <si>
    <r>
      <t xml:space="preserve">43000,00                                                                                                                                                         45000,00                                    47000,00                            47000,00                              35000,00                </t>
    </r>
    <r>
      <rPr>
        <b/>
        <sz val="11"/>
        <color theme="1"/>
        <rFont val="Calibri"/>
        <family val="2"/>
        <charset val="204"/>
        <scheme val="minor"/>
      </rPr>
      <t xml:space="preserve"> 37000,00</t>
    </r>
  </si>
  <si>
    <r>
      <t xml:space="preserve">12000,00               </t>
    </r>
    <r>
      <rPr>
        <sz val="8"/>
        <color theme="1"/>
        <rFont val="Calibri"/>
        <family val="2"/>
        <charset val="204"/>
        <scheme val="minor"/>
      </rPr>
      <t xml:space="preserve"> с 01.05.2021г.</t>
    </r>
    <r>
      <rPr>
        <sz val="11"/>
        <color theme="1"/>
        <rFont val="Calibri"/>
        <family val="2"/>
        <charset val="204"/>
        <scheme val="minor"/>
      </rPr>
      <t xml:space="preserve">    14000,00                     </t>
    </r>
    <r>
      <rPr>
        <sz val="8"/>
        <color theme="1"/>
        <rFont val="Calibri"/>
        <family val="2"/>
        <charset val="204"/>
        <scheme val="minor"/>
      </rPr>
      <t xml:space="preserve">  с 01.05.2022г.    </t>
    </r>
    <r>
      <rPr>
        <sz val="11"/>
        <color theme="1"/>
        <rFont val="Calibri"/>
        <family val="2"/>
        <charset val="204"/>
        <scheme val="minor"/>
      </rPr>
      <t xml:space="preserve">                  </t>
    </r>
    <r>
      <rPr>
        <b/>
        <sz val="11"/>
        <color theme="1"/>
        <rFont val="Calibri"/>
        <family val="2"/>
        <charset val="204"/>
        <scheme val="minor"/>
      </rPr>
      <t>16000,00</t>
    </r>
  </si>
  <si>
    <r>
      <rPr>
        <b/>
        <sz val="11"/>
        <color theme="1"/>
        <rFont val="Calibri"/>
        <family val="2"/>
        <charset val="204"/>
        <scheme val="minor"/>
      </rPr>
      <t xml:space="preserve">1673,00  </t>
    </r>
    <r>
      <rPr>
        <sz val="11"/>
        <color theme="1"/>
        <rFont val="Calibri"/>
        <family val="2"/>
        <charset val="204"/>
        <scheme val="minor"/>
      </rPr>
      <t xml:space="preserve">                     </t>
    </r>
    <r>
      <rPr>
        <sz val="8"/>
        <color theme="1"/>
        <rFont val="Calibri"/>
        <family val="2"/>
        <charset val="204"/>
        <scheme val="minor"/>
      </rPr>
      <t xml:space="preserve"> в месяц</t>
    </r>
  </si>
  <si>
    <t xml:space="preserve"> 28.11.2018г.</t>
  </si>
  <si>
    <r>
      <rPr>
        <b/>
        <sz val="11"/>
        <color theme="1"/>
        <rFont val="Calibri"/>
        <family val="2"/>
        <charset val="204"/>
        <scheme val="minor"/>
      </rPr>
      <t xml:space="preserve">3000,00 </t>
    </r>
    <r>
      <rPr>
        <sz val="11"/>
        <color theme="1"/>
        <rFont val="Calibri"/>
        <family val="2"/>
        <charset val="204"/>
        <scheme val="minor"/>
      </rPr>
      <t xml:space="preserve">                       разово</t>
    </r>
  </si>
  <si>
    <t xml:space="preserve">НЧОУ ДПО  "УЭЦ  "СТРОИТЕЛЬ"         </t>
  </si>
  <si>
    <t>за профессиональную подготовку по направлением: сантехник, техник по управлению МКД</t>
  </si>
  <si>
    <r>
      <rPr>
        <b/>
        <sz val="11"/>
        <color theme="1"/>
        <rFont val="Calibri"/>
        <family val="2"/>
        <charset val="204"/>
        <scheme val="minor"/>
      </rPr>
      <t xml:space="preserve">9500 ,00 </t>
    </r>
    <r>
      <rPr>
        <sz val="11"/>
        <color theme="1"/>
        <rFont val="Calibri"/>
        <family val="2"/>
        <charset val="204"/>
        <scheme val="minor"/>
      </rPr>
      <t xml:space="preserve">                             разово</t>
    </r>
  </si>
  <si>
    <r>
      <rPr>
        <b/>
        <sz val="11"/>
        <color theme="1"/>
        <rFont val="Calibri"/>
        <family val="2"/>
        <charset val="204"/>
        <scheme val="minor"/>
      </rPr>
      <t xml:space="preserve">35000,00 </t>
    </r>
    <r>
      <rPr>
        <sz val="11"/>
        <color theme="1"/>
        <rFont val="Calibri"/>
        <family val="2"/>
        <charset val="204"/>
        <scheme val="minor"/>
      </rPr>
      <t xml:space="preserve">         разово</t>
    </r>
  </si>
  <si>
    <r>
      <rPr>
        <b/>
        <sz val="11"/>
        <color theme="1"/>
        <rFont val="Calibri"/>
        <family val="2"/>
        <charset val="204"/>
        <scheme val="minor"/>
      </rPr>
      <t xml:space="preserve">14500.00     </t>
    </r>
    <r>
      <rPr>
        <sz val="11"/>
        <color theme="1"/>
        <rFont val="Calibri"/>
        <family val="2"/>
        <charset val="204"/>
        <scheme val="minor"/>
      </rPr>
      <t xml:space="preserve">             разово</t>
    </r>
  </si>
  <si>
    <t>Частичный ремонт межпанельных швов             (159п.м.) по ул. Тельмана,49  и пр.Большевиков,43  (гарантия -3 года)</t>
  </si>
  <si>
    <t>ООО "Невское"</t>
  </si>
  <si>
    <t>начислено в 2022г.</t>
  </si>
  <si>
    <t>оплачено  в 2022г.</t>
  </si>
  <si>
    <t>Выполнение оценки соответствия лифтов требованиям технического регламента Таможенного союза "Безопасность лифтов, в соответствии с Адресной программой и расчетом стоимости оценки лифтов (Приложение №1) и Техническим заданием (Приложение №2)</t>
  </si>
  <si>
    <t>ООО"Обит"                                                      (копия договора)</t>
  </si>
  <si>
    <r>
      <t xml:space="preserve">12500,00                                                           с 01.06.2021г.                      </t>
    </r>
    <r>
      <rPr>
        <b/>
        <sz val="10"/>
        <color theme="1"/>
        <rFont val="Calibri"/>
        <family val="2"/>
        <charset val="204"/>
        <scheme val="minor"/>
      </rPr>
      <t xml:space="preserve"> 10000,00</t>
    </r>
  </si>
  <si>
    <t>ООО"ЭР Телеком Холдинг"</t>
  </si>
  <si>
    <t>ИЗТ-00160724</t>
  </si>
  <si>
    <t>размещение камер наружного видеонаблюдения на фасаде МКД</t>
  </si>
  <si>
    <t>ИТОГО в месяц</t>
  </si>
  <si>
    <t>ИТОГО в год</t>
  </si>
  <si>
    <r>
      <rPr>
        <b/>
        <sz val="11"/>
        <color theme="1"/>
        <rFont val="Calibri"/>
        <family val="2"/>
        <charset val="204"/>
        <scheme val="minor"/>
      </rPr>
      <t xml:space="preserve">10000,00   </t>
    </r>
    <r>
      <rPr>
        <sz val="11"/>
        <color theme="1"/>
        <rFont val="Calibri"/>
        <family val="2"/>
        <charset val="204"/>
        <scheme val="minor"/>
      </rPr>
      <t xml:space="preserve">                               за год</t>
    </r>
  </si>
  <si>
    <t>ООО "Сервис-Клауд"</t>
  </si>
  <si>
    <t>Образовательные услуги по программе подготовки к независимой оценки квалификации "Специалист по организации эксплуатации лифтов"</t>
  </si>
  <si>
    <t>Покраска балконов по ул.Тельмана,49</t>
  </si>
  <si>
    <r>
      <rPr>
        <b/>
        <sz val="11"/>
        <color theme="1"/>
        <rFont val="Calibri"/>
        <family val="2"/>
        <charset val="204"/>
        <scheme val="minor"/>
      </rPr>
      <t xml:space="preserve">48000,00   </t>
    </r>
    <r>
      <rPr>
        <sz val="11"/>
        <color theme="1"/>
        <rFont val="Calibri"/>
        <family val="2"/>
        <charset val="204"/>
        <scheme val="minor"/>
      </rPr>
      <t xml:space="preserve">      </t>
    </r>
    <r>
      <rPr>
        <sz val="8"/>
        <color theme="1"/>
        <rFont val="Calibri"/>
        <family val="2"/>
        <charset val="204"/>
        <scheme val="minor"/>
      </rPr>
      <t xml:space="preserve"> за год</t>
    </r>
  </si>
  <si>
    <r>
      <t xml:space="preserve">Аренда помещения по пр.Б.43. ( 20кв.м  )                                                                                              </t>
    </r>
    <r>
      <rPr>
        <b/>
        <sz val="10"/>
        <color theme="1"/>
        <rFont val="Calibri"/>
        <family val="2"/>
        <charset val="204"/>
        <scheme val="minor"/>
      </rPr>
      <t xml:space="preserve"> Договор расторгнут с 01.09.2022г.</t>
    </r>
  </si>
  <si>
    <t>№ Т-059/3</t>
  </si>
  <si>
    <t>29.09.2022г.</t>
  </si>
  <si>
    <t>Замена тягового каната по пр.Б.43 пар.2</t>
  </si>
  <si>
    <r>
      <rPr>
        <b/>
        <sz val="11"/>
        <color theme="1"/>
        <rFont val="Calibri"/>
        <family val="2"/>
        <charset val="204"/>
        <scheme val="minor"/>
      </rPr>
      <t xml:space="preserve">2000,00 </t>
    </r>
    <r>
      <rPr>
        <sz val="11"/>
        <color theme="1"/>
        <rFont val="Calibri"/>
        <family val="2"/>
        <charset val="204"/>
        <scheme val="minor"/>
      </rPr>
      <t xml:space="preserve">                    </t>
    </r>
    <r>
      <rPr>
        <sz val="8"/>
        <color theme="1"/>
        <rFont val="Calibri"/>
        <family val="2"/>
        <charset val="204"/>
        <scheme val="minor"/>
      </rPr>
      <t xml:space="preserve">  в месяц</t>
    </r>
  </si>
  <si>
    <t>Услуги кабельного телевидения                                                                                     60,00 руб. за каждый абоненский отвод                       ( 563-отвода)(-10%)</t>
  </si>
  <si>
    <r>
      <rPr>
        <b/>
        <sz val="11"/>
        <color theme="1"/>
        <rFont val="Calibri"/>
        <family val="2"/>
        <charset val="204"/>
        <scheme val="minor"/>
      </rPr>
      <t xml:space="preserve">28350,00     </t>
    </r>
    <r>
      <rPr>
        <sz val="11"/>
        <color theme="1"/>
        <rFont val="Calibri"/>
        <family val="2"/>
        <charset val="204"/>
        <scheme val="minor"/>
      </rPr>
      <t xml:space="preserve">                         </t>
    </r>
    <r>
      <rPr>
        <sz val="9"/>
        <color theme="1"/>
        <rFont val="Calibri"/>
        <family val="2"/>
        <charset val="204"/>
        <scheme val="minor"/>
      </rPr>
      <t xml:space="preserve"> в месяц</t>
    </r>
  </si>
  <si>
    <r>
      <rPr>
        <b/>
        <sz val="11"/>
        <color theme="1"/>
        <rFont val="Calibri"/>
        <family val="2"/>
        <charset val="204"/>
        <scheme val="minor"/>
      </rPr>
      <t xml:space="preserve">5500,00 </t>
    </r>
    <r>
      <rPr>
        <sz val="11"/>
        <color theme="1"/>
        <rFont val="Calibri"/>
        <family val="2"/>
        <charset val="204"/>
        <scheme val="minor"/>
      </rPr>
      <t xml:space="preserve">           </t>
    </r>
    <r>
      <rPr>
        <sz val="8"/>
        <color theme="1"/>
        <rFont val="Calibri"/>
        <family val="2"/>
        <charset val="204"/>
        <scheme val="minor"/>
      </rPr>
      <t xml:space="preserve">  в месяцц</t>
    </r>
  </si>
  <si>
    <t>Оказание услуг по обращению с твердыми коммунальными отходами (оплата по нормативу)</t>
  </si>
  <si>
    <r>
      <t xml:space="preserve">2500.00               </t>
    </r>
    <r>
      <rPr>
        <sz val="8"/>
        <color theme="1"/>
        <rFont val="Calibri"/>
        <family val="2"/>
        <charset val="204"/>
        <scheme val="minor"/>
      </rPr>
      <t>с 01.07 2022г</t>
    </r>
    <r>
      <rPr>
        <sz val="11"/>
        <color theme="1"/>
        <rFont val="Calibri"/>
        <family val="2"/>
        <charset val="204"/>
        <scheme val="minor"/>
      </rPr>
      <t xml:space="preserve">.                  </t>
    </r>
    <r>
      <rPr>
        <b/>
        <sz val="11"/>
        <color theme="1"/>
        <rFont val="Calibri"/>
        <family val="2"/>
        <charset val="204"/>
        <scheme val="minor"/>
      </rPr>
      <t xml:space="preserve">2600,00 </t>
    </r>
    <r>
      <rPr>
        <sz val="11"/>
        <color theme="1"/>
        <rFont val="Calibri"/>
        <family val="2"/>
        <charset val="204"/>
        <scheme val="minor"/>
      </rPr>
      <t xml:space="preserve">                     </t>
    </r>
    <r>
      <rPr>
        <sz val="8"/>
        <color theme="1"/>
        <rFont val="Calibri"/>
        <family val="2"/>
        <charset val="204"/>
        <scheme val="minor"/>
      </rPr>
      <t xml:space="preserve"> за месяц</t>
    </r>
  </si>
  <si>
    <r>
      <rPr>
        <b/>
        <sz val="11"/>
        <color theme="1"/>
        <rFont val="Calibri"/>
        <family val="2"/>
        <charset val="204"/>
        <scheme val="minor"/>
      </rPr>
      <t xml:space="preserve">  7500,00</t>
    </r>
    <r>
      <rPr>
        <sz val="11"/>
        <color theme="1"/>
        <rFont val="Calibri"/>
        <family val="2"/>
        <charset val="204"/>
        <scheme val="minor"/>
      </rPr>
      <t xml:space="preserve">                       </t>
    </r>
    <r>
      <rPr>
        <sz val="9"/>
        <color theme="1"/>
        <rFont val="Calibri"/>
        <family val="2"/>
        <charset val="204"/>
        <scheme val="minor"/>
      </rPr>
      <t xml:space="preserve">  за год                       с  01.01.2023г</t>
    </r>
    <r>
      <rPr>
        <sz val="11"/>
        <color theme="1"/>
        <rFont val="Calibri"/>
        <family val="2"/>
        <charset val="204"/>
        <scheme val="minor"/>
      </rPr>
      <t xml:space="preserve">.     </t>
    </r>
    <r>
      <rPr>
        <b/>
        <sz val="11"/>
        <color theme="1"/>
        <rFont val="Calibri"/>
        <family val="2"/>
        <charset val="204"/>
        <scheme val="minor"/>
      </rPr>
      <t xml:space="preserve"> 10000,00</t>
    </r>
  </si>
  <si>
    <r>
      <rPr>
        <b/>
        <sz val="11"/>
        <color theme="1"/>
        <rFont val="Calibri"/>
        <family val="2"/>
        <charset val="204"/>
        <scheme val="minor"/>
      </rPr>
      <t xml:space="preserve">15792,00 </t>
    </r>
    <r>
      <rPr>
        <sz val="11"/>
        <color theme="1"/>
        <rFont val="Calibri"/>
        <family val="2"/>
        <charset val="204"/>
        <scheme val="minor"/>
      </rPr>
      <t xml:space="preserve">      </t>
    </r>
    <r>
      <rPr>
        <sz val="9"/>
        <color theme="1"/>
        <rFont val="Calibri"/>
        <family val="2"/>
        <charset val="204"/>
        <scheme val="minor"/>
      </rPr>
      <t xml:space="preserve"> за год      </t>
    </r>
    <r>
      <rPr>
        <sz val="11"/>
        <color theme="1"/>
        <rFont val="Calibri"/>
        <family val="2"/>
        <charset val="204"/>
        <scheme val="minor"/>
      </rPr>
      <t xml:space="preserve">                </t>
    </r>
    <r>
      <rPr>
        <sz val="9"/>
        <color theme="1"/>
        <rFont val="Calibri"/>
        <family val="2"/>
        <charset val="204"/>
        <scheme val="minor"/>
      </rPr>
      <t xml:space="preserve"> с 01.01.2023г.</t>
    </r>
    <r>
      <rPr>
        <sz val="11"/>
        <color theme="1"/>
        <rFont val="Calibri"/>
        <family val="2"/>
        <charset val="204"/>
        <scheme val="minor"/>
      </rPr>
      <t xml:space="preserve">            </t>
    </r>
    <r>
      <rPr>
        <b/>
        <sz val="11"/>
        <color theme="1"/>
        <rFont val="Calibri"/>
        <family val="2"/>
        <charset val="204"/>
        <scheme val="minor"/>
      </rPr>
      <t xml:space="preserve">  26988,00</t>
    </r>
  </si>
  <si>
    <t>Работы по демонтажу и монтажу нулевой шины и переподключением квартирных потребителей в щите электроснабжения по ул.Тельмана,49 парадная №2, 2-й этаж</t>
  </si>
  <si>
    <t xml:space="preserve">Ремонт повысительной насосной станции на системе пожаротушения по пр.Б43,                   парадная 1 </t>
  </si>
  <si>
    <t>11.09.2020г.                      б/ч</t>
  </si>
  <si>
    <r>
      <rPr>
        <sz val="11"/>
        <color theme="1"/>
        <rFont val="Calibri"/>
        <family val="2"/>
        <charset val="204"/>
        <scheme val="minor"/>
      </rPr>
      <t xml:space="preserve">235068,25       </t>
    </r>
    <r>
      <rPr>
        <sz val="9"/>
        <color theme="1"/>
        <rFont val="Calibri"/>
        <family val="2"/>
        <charset val="204"/>
        <scheme val="minor"/>
      </rPr>
      <t xml:space="preserve">                                    в месяц                                с 01.07.2022г.           </t>
    </r>
    <r>
      <rPr>
        <b/>
        <sz val="11"/>
        <color theme="1"/>
        <rFont val="Calibri"/>
        <family val="2"/>
        <charset val="204"/>
        <scheme val="minor"/>
      </rPr>
      <t xml:space="preserve">  305545,10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                   с 01.12.2022г.         </t>
    </r>
    <r>
      <rPr>
        <b/>
        <sz val="11"/>
        <color theme="1"/>
        <rFont val="Calibri"/>
        <family val="2"/>
        <charset val="204"/>
        <scheme val="minor"/>
      </rPr>
      <t xml:space="preserve"> 331517,82,82   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</si>
  <si>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за передачу неисключительных прав (аренда 1С) с 01.02.2023г. по 31.01 2024г.</t>
  </si>
  <si>
    <t>договор -оферта</t>
  </si>
  <si>
    <t>Наименование</t>
  </si>
  <si>
    <t>Кол-во</t>
  </si>
  <si>
    <t>Сумма                              руб.</t>
  </si>
  <si>
    <t>Примечание</t>
  </si>
  <si>
    <t>МАТЕРИАЛЫ,ИНСТРУМЕНТ/                                               ОБСЛУЖИВАНИЕ МКД</t>
  </si>
  <si>
    <t>шт</t>
  </si>
  <si>
    <t>расходный материал</t>
  </si>
  <si>
    <t>упак</t>
  </si>
  <si>
    <t xml:space="preserve">выключатель одноклавишный </t>
  </si>
  <si>
    <t xml:space="preserve">дюбель распорный </t>
  </si>
  <si>
    <t xml:space="preserve">изолента </t>
  </si>
  <si>
    <t xml:space="preserve">клей монтажный М </t>
  </si>
  <si>
    <t xml:space="preserve">клемма универсальная </t>
  </si>
  <si>
    <t>кран шаровый</t>
  </si>
  <si>
    <t xml:space="preserve">лен сантехнический </t>
  </si>
  <si>
    <t xml:space="preserve">лента малярная </t>
  </si>
  <si>
    <t>прокладка резиновая</t>
  </si>
  <si>
    <t xml:space="preserve">профиль п-образный </t>
  </si>
  <si>
    <t xml:space="preserve">разветвитель </t>
  </si>
  <si>
    <t xml:space="preserve">розетка </t>
  </si>
  <si>
    <t>ЭЛЕКТРОТОВАРЫ</t>
  </si>
  <si>
    <t>лампа галогеновая</t>
  </si>
  <si>
    <t xml:space="preserve">лампа светодиодная </t>
  </si>
  <si>
    <t xml:space="preserve">светильник светодиодный   </t>
  </si>
  <si>
    <t xml:space="preserve">МАТЕРИАЛЫ/                                                                                                БЛАГОУСТРОЙСТВО ТЕРРИТОРИИ                     </t>
  </si>
  <si>
    <t>полусфера бетонная</t>
  </si>
  <si>
    <t>установлены на территории ТСЖ</t>
  </si>
  <si>
    <t xml:space="preserve">щебень гранитный фр.20-40  50 кг </t>
  </si>
  <si>
    <t>использована для посыпки дорожек в зимнее время</t>
  </si>
  <si>
    <t>соль техническая   (меш.=50кг)</t>
  </si>
  <si>
    <t>реагент противогололедный</t>
  </si>
  <si>
    <t>использованы при озеленении территории ТСЖ</t>
  </si>
  <si>
    <t>средство от мха</t>
  </si>
  <si>
    <t xml:space="preserve">удобрение для растений </t>
  </si>
  <si>
    <t>СРЕДСТВА ДЛЯ УБОРКИ ПОМЕЩЕНИЙ, СРЕДСТВА ГИГИЕНЫ</t>
  </si>
  <si>
    <t>аэрозоль от насекомых</t>
  </si>
  <si>
    <t xml:space="preserve">ловушка для тараканов </t>
  </si>
  <si>
    <t xml:space="preserve">обезжириватель </t>
  </si>
  <si>
    <t xml:space="preserve">освежитель воздуха </t>
  </si>
  <si>
    <t>пар</t>
  </si>
  <si>
    <t>п.м.</t>
  </si>
  <si>
    <t xml:space="preserve">средство DR.KLAUDER'S </t>
  </si>
  <si>
    <t xml:space="preserve">средство чистящее </t>
  </si>
  <si>
    <t xml:space="preserve">тряпка для пола </t>
  </si>
  <si>
    <t>КРАСКИ</t>
  </si>
  <si>
    <t>краска аэрозольная</t>
  </si>
  <si>
    <t xml:space="preserve">растворитель </t>
  </si>
  <si>
    <t>ТОПЛИВО, МАСЛО</t>
  </si>
  <si>
    <t>для триммера, газонокосилки, снегоуборочной машины</t>
  </si>
  <si>
    <t xml:space="preserve">бензин </t>
  </si>
  <si>
    <t>л</t>
  </si>
  <si>
    <t>КАНЦТОВАРЫ</t>
  </si>
  <si>
    <t>пачка</t>
  </si>
  <si>
    <t xml:space="preserve">календарь настенный </t>
  </si>
  <si>
    <t xml:space="preserve">клей-карандаш </t>
  </si>
  <si>
    <t xml:space="preserve">корректирующая жидкость </t>
  </si>
  <si>
    <t xml:space="preserve">лента клейкая  канцелярская </t>
  </si>
  <si>
    <t xml:space="preserve">ручка гелевая </t>
  </si>
  <si>
    <t xml:space="preserve">ручка шариковая </t>
  </si>
  <si>
    <t>ОБОРУДОВАНИЕ, МАТЕРИАЛЫ К КОМПЬЮТЕРНОЙ ТЕХНИКИ</t>
  </si>
  <si>
    <t>для принтера</t>
  </si>
  <si>
    <t>ТЕХНИКА</t>
  </si>
  <si>
    <t xml:space="preserve">микроволновая печь </t>
  </si>
  <si>
    <t xml:space="preserve">насос погружной </t>
  </si>
  <si>
    <t xml:space="preserve">для откачки воды в подвале </t>
  </si>
  <si>
    <t>МЕБЕЛЬ</t>
  </si>
  <si>
    <t>ИНВЕНТАРЬ, ИНСТРУМЕНТ</t>
  </si>
  <si>
    <t xml:space="preserve">ключ трубный </t>
  </si>
  <si>
    <t xml:space="preserve">насадка для поломоя </t>
  </si>
  <si>
    <t xml:space="preserve">насадка-щетка </t>
  </si>
  <si>
    <t xml:space="preserve">отвертка крестовая </t>
  </si>
  <si>
    <t>МАТЕРИАЛЫ ДЛЯ ПРОВЕДЕНИЯ ПРАЗДНИКОВ</t>
  </si>
  <si>
    <t>коробка</t>
  </si>
  <si>
    <t>СПЕЦОДЕЖДА</t>
  </si>
  <si>
    <t>жилет  женский</t>
  </si>
  <si>
    <t>комплект (куртка, брюки)</t>
  </si>
  <si>
    <t>куртка зимняя женская</t>
  </si>
  <si>
    <t xml:space="preserve">кроссовки </t>
  </si>
  <si>
    <t>тапки женские</t>
  </si>
  <si>
    <t xml:space="preserve">стельки </t>
  </si>
  <si>
    <t xml:space="preserve">перчатки </t>
  </si>
  <si>
    <t>шапка</t>
  </si>
  <si>
    <t>ИТОГО</t>
  </si>
  <si>
    <t>Сумма</t>
  </si>
  <si>
    <t>2018г.</t>
  </si>
  <si>
    <t xml:space="preserve">Газонокосилка бензиновая, самоходная AL-KO 119387К </t>
  </si>
  <si>
    <t xml:space="preserve">Пирометр БОШ 4хАА 5мм </t>
  </si>
  <si>
    <t xml:space="preserve">Угловая шлиф. машина DWE 4929 </t>
  </si>
  <si>
    <t>2019г.</t>
  </si>
  <si>
    <t xml:space="preserve">Насос погружной </t>
  </si>
  <si>
    <t xml:space="preserve">Перфоратор Makit </t>
  </si>
  <si>
    <t xml:space="preserve">Скрепер для снега </t>
  </si>
  <si>
    <t>Скрепер для снега FISKARS</t>
  </si>
  <si>
    <t xml:space="preserve">Мотопомпа </t>
  </si>
  <si>
    <t>Триммер бензиновый</t>
  </si>
  <si>
    <t>2020г.</t>
  </si>
  <si>
    <t xml:space="preserve">агрегат окрасочный поршневой </t>
  </si>
  <si>
    <t xml:space="preserve">машина подметально-уборочная </t>
  </si>
  <si>
    <t xml:space="preserve">электрочайник </t>
  </si>
  <si>
    <t xml:space="preserve">чайник </t>
  </si>
  <si>
    <t>2021г.</t>
  </si>
  <si>
    <t xml:space="preserve">аппарат для сварки </t>
  </si>
  <si>
    <t xml:space="preserve">бензопила </t>
  </si>
  <si>
    <t>Всего</t>
  </si>
  <si>
    <t>Ревизор                                          Яковлева Л.Х.</t>
  </si>
  <si>
    <t>эмаль-грунт (банка)</t>
  </si>
  <si>
    <t>эмаль по ржавчине ( банка)</t>
  </si>
  <si>
    <t>бумага шлифовальная</t>
  </si>
  <si>
    <t>гвозди финишные</t>
  </si>
  <si>
    <t>держатель для труб</t>
  </si>
  <si>
    <t>диск алмазный</t>
  </si>
  <si>
    <t>клей сверхпрочный</t>
  </si>
  <si>
    <t>клей акриловый</t>
  </si>
  <si>
    <t>комплект сменных модулей</t>
  </si>
  <si>
    <t>кран плипропиленовый</t>
  </si>
  <si>
    <t>круг отрезной</t>
  </si>
  <si>
    <t>манометр</t>
  </si>
  <si>
    <t>банка</t>
  </si>
  <si>
    <t>маховик</t>
  </si>
  <si>
    <t xml:space="preserve">муфта PPR </t>
  </si>
  <si>
    <t>муфта полипропиленовая</t>
  </si>
  <si>
    <t>набор для подключения</t>
  </si>
  <si>
    <t>набор кронштернов</t>
  </si>
  <si>
    <t>набор пилоки для/сабель</t>
  </si>
  <si>
    <t>набор соединителей</t>
  </si>
  <si>
    <t>панель светодиодная</t>
  </si>
  <si>
    <t>переключатель</t>
  </si>
  <si>
    <t>пилки для лобзика</t>
  </si>
  <si>
    <t>пистолет для монтажной пены</t>
  </si>
  <si>
    <t>пластина соединительная</t>
  </si>
  <si>
    <t>подводка для воды</t>
  </si>
  <si>
    <t>полотно для сабель</t>
  </si>
  <si>
    <t>полотно ножовочное</t>
  </si>
  <si>
    <t>порошок стиральный</t>
  </si>
  <si>
    <t>резинка</t>
  </si>
  <si>
    <t>ствол пожарный</t>
  </si>
  <si>
    <t>смесь сухая цементная</t>
  </si>
  <si>
    <t>стопор магнитный</t>
  </si>
  <si>
    <t>стусло с пилой</t>
  </si>
  <si>
    <t>стяжка кабельная</t>
  </si>
  <si>
    <t>уголок мебельный</t>
  </si>
  <si>
    <t>штапик 9х9</t>
  </si>
  <si>
    <t>ароматизатор</t>
  </si>
  <si>
    <t>клей ПВА</t>
  </si>
  <si>
    <t>грифели</t>
  </si>
  <si>
    <t>корзина для мусора офисная</t>
  </si>
  <si>
    <t>лоток вертикальный</t>
  </si>
  <si>
    <t>маркер-краска</t>
  </si>
  <si>
    <t>набор</t>
  </si>
  <si>
    <t>маркеры-набор, 4 цвета</t>
  </si>
  <si>
    <t>подушка для смачивания пальцев</t>
  </si>
  <si>
    <t>полотенца кухонные</t>
  </si>
  <si>
    <t>валик с ручкой</t>
  </si>
  <si>
    <t>головка триммерная</t>
  </si>
  <si>
    <t>замок навесной</t>
  </si>
  <si>
    <t>кисть плоская</t>
  </si>
  <si>
    <t>ключ для  разъеных соединений "американок"</t>
  </si>
  <si>
    <t>ключ разводной</t>
  </si>
  <si>
    <t>ключ торцовый</t>
  </si>
  <si>
    <t>набор для пайки</t>
  </si>
  <si>
    <t>ножницы по металлу</t>
  </si>
  <si>
    <t>ограждение для клумбы</t>
  </si>
  <si>
    <t>опора для поддержки растений</t>
  </si>
  <si>
    <t>отвертка - тестер</t>
  </si>
  <si>
    <t>полка прямая</t>
  </si>
  <si>
    <t>тележка-распределитель</t>
  </si>
  <si>
    <t>вкладыш для урны</t>
  </si>
  <si>
    <t>гарнитур для туалета</t>
  </si>
  <si>
    <t>грунт-эмаль</t>
  </si>
  <si>
    <t>Материалы, купленные  ТСЖ в 2022году</t>
  </si>
  <si>
    <t>для телефона диспетчера</t>
  </si>
  <si>
    <t xml:space="preserve">чехол, стекло для телефона </t>
  </si>
  <si>
    <t>цепь для цепных пил PATRIOT, CHAMPION</t>
  </si>
  <si>
    <t>смартфон XIAOMI  Redme 9A 32Gb серый</t>
  </si>
  <si>
    <t>для диспетчера</t>
  </si>
  <si>
    <t>веник трехпрошивной Люкс</t>
  </si>
  <si>
    <t>веник пластиковый мини Классика</t>
  </si>
  <si>
    <t>костюм Метеор  ткань Оксфорд синий/черный44,46/170-176</t>
  </si>
  <si>
    <t>в диспетчеркую</t>
  </si>
  <si>
    <t>сапоги теплые водонепроницаемые</t>
  </si>
  <si>
    <t>бухгалтеская книга учета 96л в клетку</t>
  </si>
  <si>
    <t>в диспечерскую</t>
  </si>
  <si>
    <t>в диспечерскую, мастерскую</t>
  </si>
  <si>
    <t>бизнес-тетрадь А4 клетка</t>
  </si>
  <si>
    <t>ключ для монтажа "американок"шестигранный, универсальный</t>
  </si>
  <si>
    <t>калибратор для м/пластиковых труб d 16-20-26мм с ножами для снятия внутр.фаски</t>
  </si>
  <si>
    <t>бита ZOLDER PH2 (упак)</t>
  </si>
  <si>
    <t>папка конверт на кнопке  (упак-10шт)</t>
  </si>
  <si>
    <t>средство для стекол HELP с курком 500мл,лимон</t>
  </si>
  <si>
    <t>папка уголок А4 (упак.-10шт.)</t>
  </si>
  <si>
    <t>клей универсальный  МОНОЛИТ супер</t>
  </si>
  <si>
    <t>рукоятка пластиковая  V-образ. для лопат</t>
  </si>
  <si>
    <t>папка-регистратор Attache с покрытием ПХВ</t>
  </si>
  <si>
    <t>папка - планшет д/бумаг Attache синий</t>
  </si>
  <si>
    <t>телефон проводной Ritmix RT-460 белый и серый</t>
  </si>
  <si>
    <t>в диспетчерскую</t>
  </si>
  <si>
    <t>песок строительный (мешок= 50кг)</t>
  </si>
  <si>
    <t>угольник PPR РОС</t>
  </si>
  <si>
    <t>муфта PPR РОСТЕР</t>
  </si>
  <si>
    <t>сапоги женские</t>
  </si>
  <si>
    <t>валик TOOLBERG</t>
  </si>
  <si>
    <t>ниппель резьбовой</t>
  </si>
  <si>
    <t>клей монтажный G</t>
  </si>
  <si>
    <t>маска защитная Г</t>
  </si>
  <si>
    <t>хомут обжимной</t>
  </si>
  <si>
    <t>шланг заборный</t>
  </si>
  <si>
    <t>радиотелефон GIGASET A415 RUS черный</t>
  </si>
  <si>
    <t>председателю</t>
  </si>
  <si>
    <t>мышь беспроводная, оптическая LOGITECH B170,USB,черный</t>
  </si>
  <si>
    <t>для мастера</t>
  </si>
  <si>
    <t>клемма WAGO 2-х пров. 32А(упак=5шт)</t>
  </si>
  <si>
    <t xml:space="preserve">гидроизоляция </t>
  </si>
  <si>
    <t>картридж Castus CS-ТК-1130 черный /Kyocera FS</t>
  </si>
  <si>
    <t xml:space="preserve">картридж Castus CS-Р411 для Panasonic  черный </t>
  </si>
  <si>
    <t xml:space="preserve">картридж-тонер SONNEN / Panasonic  </t>
  </si>
  <si>
    <t>эмаль лакра ПФ-1 (банка)</t>
  </si>
  <si>
    <t>эмаль аэрозольная</t>
  </si>
  <si>
    <t>покрывало 1,5сп гобеленовое</t>
  </si>
  <si>
    <t>перчатки защитные АЗРИХИМ из латекса, черные</t>
  </si>
  <si>
    <t>перчатки латексные LUTUS LUX особопрочные с хлопковым напылением , желтые</t>
  </si>
  <si>
    <t>табурет ЕТ эконом ТЭ-коричневый</t>
  </si>
  <si>
    <t>в диспетческой</t>
  </si>
  <si>
    <t>в парадные</t>
  </si>
  <si>
    <r>
      <t xml:space="preserve">этикетки самоклеющие 105х57мм </t>
    </r>
    <r>
      <rPr>
        <sz val="9"/>
        <rFont val="Arial"/>
        <family val="2"/>
        <charset val="204"/>
      </rPr>
      <t>(упак.=100листов)</t>
    </r>
  </si>
  <si>
    <t>журнал по охране труда для работников со штрихом</t>
  </si>
  <si>
    <t xml:space="preserve">журнал учета инструкций по охране труда </t>
  </si>
  <si>
    <t>мешки для мусора ПВД черные 240л,50шт/рул.</t>
  </si>
  <si>
    <t>мыло жидкое РАДУГА 5л, яблоко</t>
  </si>
  <si>
    <t>рул</t>
  </si>
  <si>
    <t>рул.</t>
  </si>
  <si>
    <t>лен сантехнический  коса 50г TeRma</t>
  </si>
  <si>
    <t>паста UNIPAK 360g</t>
  </si>
  <si>
    <t>саморезы гипсокартонные</t>
  </si>
  <si>
    <t>ниппель STOUT HP</t>
  </si>
  <si>
    <t>сифон универсальный для раковин</t>
  </si>
  <si>
    <t>наклейки в лифты</t>
  </si>
  <si>
    <t>для пожарных шкафов</t>
  </si>
  <si>
    <t>гербицид граунд</t>
  </si>
  <si>
    <t>метла п/п 27х26С</t>
  </si>
  <si>
    <t>жилет Portwest c 476, желтый/темно-синий (XL)</t>
  </si>
  <si>
    <t>ручка шариковая 4 цвета, набор</t>
  </si>
  <si>
    <t>салфетки влажные с антибактериальным эффектом с крышкой 144шт</t>
  </si>
  <si>
    <t>в помещение охраны</t>
  </si>
  <si>
    <t>холодильник Саратов 1524</t>
  </si>
  <si>
    <t>бита UETTOOLS</t>
  </si>
  <si>
    <t>электроды TIGARB</t>
  </si>
  <si>
    <t>хомут червячный</t>
  </si>
  <si>
    <t>батарейка GP CR2</t>
  </si>
  <si>
    <t>гербицид  БИС-300</t>
  </si>
  <si>
    <t>телефон  teXetTX-259, черно-серебристый</t>
  </si>
  <si>
    <t>масло Country c  дозатором SI-50</t>
  </si>
  <si>
    <t>рулетка UGO LOKS</t>
  </si>
  <si>
    <t>пластырь маторат</t>
  </si>
  <si>
    <t>лента противоскользящая</t>
  </si>
  <si>
    <t>песок намывной (меш.=50кг)</t>
  </si>
  <si>
    <t>лента  клейкая</t>
  </si>
  <si>
    <t>герметик силиконовый</t>
  </si>
  <si>
    <t>электроды РЕСАНС</t>
  </si>
  <si>
    <t>смесь для ликвидации протечек</t>
  </si>
  <si>
    <t>дихлофос варан</t>
  </si>
  <si>
    <t>секатор плоскостной</t>
  </si>
  <si>
    <t>угольник JIF ОБЖ</t>
  </si>
  <si>
    <t>светильник  встраиваемый</t>
  </si>
  <si>
    <t>перчатки резиновые PACLAN Professional латекс с хлопковым напылением</t>
  </si>
  <si>
    <t>средство (профхим)для чистки труб EFFECT / ALFA 104,5л</t>
  </si>
  <si>
    <t>ведро 10л</t>
  </si>
  <si>
    <t>болт DIN933 M10X</t>
  </si>
  <si>
    <t>валик COLOR EXPE</t>
  </si>
  <si>
    <t>поломой HOMEQUEE</t>
  </si>
  <si>
    <t>дихлофос HEO УНИ</t>
  </si>
  <si>
    <t>гель от тараканов</t>
  </si>
  <si>
    <t>батарейка  ФОТОН</t>
  </si>
  <si>
    <t>смеситель для раковины</t>
  </si>
  <si>
    <t>салфетки  рыжий к</t>
  </si>
  <si>
    <t>метла п/п  LUX 29</t>
  </si>
  <si>
    <t>щетка утюжок</t>
  </si>
  <si>
    <t>холодильник ЗИЛ</t>
  </si>
  <si>
    <t>в помещение диспетчерской</t>
  </si>
  <si>
    <t>губка для мытья посуды  Luscan makcu (упак.=5шт)</t>
  </si>
  <si>
    <t>мешки для мусора ПНД 30л (упак.=25шт черные)</t>
  </si>
  <si>
    <t>средство для сантехники  "Стерил"гель лимон 1л</t>
  </si>
  <si>
    <t>бумага Aphrodite  А4 (500листов)</t>
  </si>
  <si>
    <t>конверт в упаковке DL (110х220мм) (упак.-10шт)</t>
  </si>
  <si>
    <t>замок для почтового ящика EU 20х90</t>
  </si>
  <si>
    <t>тройник PPR РОСТEP</t>
  </si>
  <si>
    <t>проушина угловая</t>
  </si>
  <si>
    <t>мастика NIP PONA</t>
  </si>
  <si>
    <t>ботинки для дворника</t>
  </si>
  <si>
    <t>удлинитель 5м</t>
  </si>
  <si>
    <t>заглушка STOUT</t>
  </si>
  <si>
    <r>
      <t>фотореле</t>
    </r>
    <r>
      <rPr>
        <sz val="8"/>
        <rFont val="Arial"/>
        <family val="2"/>
        <charset val="204"/>
      </rPr>
      <t xml:space="preserve"> ФР601 макс. нагрузка 220ВА,IP 44серый   IEK</t>
    </r>
  </si>
  <si>
    <t>светильник  потолочный  светодиодный   ЭРА</t>
  </si>
  <si>
    <t>светильник светодиодный   уличный консольный TDM EIECTRIC</t>
  </si>
  <si>
    <t>наколенники UGO</t>
  </si>
  <si>
    <t>рукоятка деревянная</t>
  </si>
  <si>
    <t xml:space="preserve">радиатор алюминевый STUT Aipha </t>
  </si>
  <si>
    <t>в диспетчеркой, водомерный узел</t>
  </si>
  <si>
    <t>мешки для мусора ПВД черные 220л,25шт/рул.</t>
  </si>
  <si>
    <t>сумка для инструмента с ремнем 36х22х23, и 32х21х23</t>
  </si>
  <si>
    <t>лампа светодиодная Mega E14 7W 3000K шар</t>
  </si>
  <si>
    <t>заглушка резьбовая</t>
  </si>
  <si>
    <t>соединитель обжимной</t>
  </si>
  <si>
    <t xml:space="preserve">почвогрунт универсальный </t>
  </si>
  <si>
    <t>кабель  ПВС ЭЛПРО</t>
  </si>
  <si>
    <t>патрубок ostendo</t>
  </si>
  <si>
    <t>клемма соединительная</t>
  </si>
  <si>
    <t>вазелин  OSTENDOR</t>
  </si>
  <si>
    <t>труба PPR РОСТЕР</t>
  </si>
  <si>
    <t>ванночка для красок</t>
  </si>
  <si>
    <r>
      <t xml:space="preserve">подарки на Новый год </t>
    </r>
    <r>
      <rPr>
        <sz val="8"/>
        <rFont val="Arial"/>
        <family val="2"/>
        <charset val="204"/>
      </rPr>
      <t>(шоколадные медальки в банке -100шт)</t>
    </r>
  </si>
  <si>
    <t>пломба -наклейка номерная антимагнитная 66*22,красная, 100шт</t>
  </si>
  <si>
    <t>подарочные пакеты</t>
  </si>
  <si>
    <t>кофе GOLD на новый год охране</t>
  </si>
  <si>
    <t>новогодний плакат-1шт, декорНаклейкиБле-2шт</t>
  </si>
  <si>
    <t>сертификат " максидом"</t>
  </si>
  <si>
    <t>набор конфет на новый год</t>
  </si>
  <si>
    <t>электрочайник Aceline SS1800,нержавеющая сталь</t>
  </si>
  <si>
    <t>микроволновая печь  ММ-80 ,серебристый</t>
  </si>
  <si>
    <t>джинсы мужские рабочие</t>
  </si>
  <si>
    <t>бумага туалетная 3-х слойная, белая</t>
  </si>
  <si>
    <t>хомут маяк 32-50мм нежавеющая сталь</t>
  </si>
  <si>
    <t>коврик YORTEX TR</t>
  </si>
  <si>
    <t>ручка металлическая</t>
  </si>
  <si>
    <t xml:space="preserve">ключ-копия от замка </t>
  </si>
  <si>
    <t>ремонт порогов лестниц</t>
  </si>
  <si>
    <t>заглушка фановой трубы</t>
  </si>
  <si>
    <t>мастика жидкая кровля,водовытесняющая полимерная композиция Nippon Ace (банка=5л)</t>
  </si>
  <si>
    <t>угол -порог с 3 резиновыми вставками, противоскользящий, алюминевый</t>
  </si>
  <si>
    <t>снегоотбрасыватель CHAMPION</t>
  </si>
  <si>
    <t>отвал для подметально-уборочной машины Champion GS 5562</t>
  </si>
  <si>
    <t xml:space="preserve"> разбрасыватель-сеялка Gardena</t>
  </si>
  <si>
    <t xml:space="preserve"> файл-вкладыш А4 (упак=100шт)</t>
  </si>
  <si>
    <t>батарейка DURACE</t>
  </si>
  <si>
    <t>перчатки защитные трикотажные с  ПХВ</t>
  </si>
  <si>
    <t>бирка пластиковая 40х70мм с белым биркодержателем (100шт)</t>
  </si>
  <si>
    <t>бирка кабельная REXANT У-153 М(50шт)</t>
  </si>
  <si>
    <t>лампа светодиодная Mega E27 10W 3000Kгруша</t>
  </si>
  <si>
    <t>перчатки защитные трикотажные с  латексной заливкой  13класс,10пар/упак.</t>
  </si>
  <si>
    <t>стяжка - хомут 3,0х150мм (50шт)</t>
  </si>
  <si>
    <t>батарейка LIBER упак=4шт.</t>
  </si>
  <si>
    <t>для орг.техники</t>
  </si>
  <si>
    <t>конверт белый С6декстрин 114х162 (упак.-100шт)</t>
  </si>
  <si>
    <t>стикеры KORES (упак.-4шт.)</t>
  </si>
  <si>
    <t>скрепер для уборки снега FISKARS SolidTM 53,5х36</t>
  </si>
  <si>
    <t>бита KWB TR , набор</t>
  </si>
  <si>
    <t>сертификат подарочный "МагнитКосметик "</t>
  </si>
  <si>
    <t>бумага КОМУС ДОКУМЕНТ Standard А4,500л</t>
  </si>
  <si>
    <t>гидропломба для заделки течей 800г</t>
  </si>
  <si>
    <t>гидроиз.блокир. Основит "Акваскрин" HС61</t>
  </si>
  <si>
    <t>картридж Castus CS-ТN-11095черный /Brother DCP</t>
  </si>
  <si>
    <t>совок Совтель/Ballet</t>
  </si>
  <si>
    <t>веник с совком, комплект для уборки Ленивка</t>
  </si>
  <si>
    <t>мыло хозяйственное 72%  200г(в упаковке)</t>
  </si>
  <si>
    <t>лампа электрическая СТАРТ 60 Вт Е27 прозрачная</t>
  </si>
  <si>
    <t>батарейка Promega AA/LR06+AAA/LR03 (упак.-2шт)</t>
  </si>
  <si>
    <t>маркер текстовыводитель желтый</t>
  </si>
  <si>
    <t>эмаль 08 FORMULA</t>
  </si>
  <si>
    <t>вантуз вакхунный</t>
  </si>
  <si>
    <t>краска акриловая</t>
  </si>
  <si>
    <t>ремонт ступеней лестниц</t>
  </si>
  <si>
    <t>подарочная карта"O KEЙ"</t>
  </si>
  <si>
    <t>скрепки канцелярские  28мм,( упак.=100шт)</t>
  </si>
  <si>
    <t>светильник светодиодный ДКУ 50Вт</t>
  </si>
  <si>
    <t>песок намывной (меш.=25кг)</t>
  </si>
  <si>
    <t>полусфера бетонная (420х200)</t>
  </si>
  <si>
    <t>салфетки антисептические влажные без спирта с клапаном 50шт.</t>
  </si>
  <si>
    <t>бумага туалетная 3-х слойная, белая 12шт.-спайка</t>
  </si>
  <si>
    <t xml:space="preserve">мыло жидкое 5л МЕЛОДИЯ с глицерином </t>
  </si>
  <si>
    <t>ножницы 195мм , резиновые вставки, черно-красные,ПХВ чехол</t>
  </si>
  <si>
    <t>освежитель воздуха аэрозольный 300мл МЕЛОДИЯ</t>
  </si>
  <si>
    <t>полотенца бумажные , спайка 4шт,3-х слойные,белые</t>
  </si>
  <si>
    <t>салфетки бумажные 100шт.,24х24 см белые, целлюлоза</t>
  </si>
  <si>
    <t>средство чистящее 480г ПЕМОЛЛЮКС СОДА-5 ЭКСРА</t>
  </si>
  <si>
    <t xml:space="preserve">тонер картридж Castus CS-ТN-1075 черный </t>
  </si>
  <si>
    <t>блок фотобарабана для МФУ Панасоник</t>
  </si>
  <si>
    <t>коврик Gabriek 90x150см, полипропилен на ПХВ</t>
  </si>
  <si>
    <t>коврик Gabriek 90x120см, полипропилен на ПХВ</t>
  </si>
  <si>
    <t>смывка строительных и бытовых загрязнений NEOMID 0,5л</t>
  </si>
  <si>
    <t>клемма WAGO на 3 провода с рычажками без пасты(упак=50шт)</t>
  </si>
  <si>
    <t>клемма WAGO на 2 провода с рычажками без пасты(упак=50шт)</t>
  </si>
  <si>
    <t>бахилы двойные ,супер-80, бело-голубые,400пар</t>
  </si>
  <si>
    <t>перчатки резиновые хозяйственные СТАНДАРТ+,супер прочные,желтые,1 пара</t>
  </si>
  <si>
    <t>полотно фафельное, отбеленное ,45х6000см</t>
  </si>
  <si>
    <t>рукав пожарный  РПК д.50мм с ГР-50А</t>
  </si>
  <si>
    <t>для АППЗ</t>
  </si>
  <si>
    <t xml:space="preserve">задвижка чугунная с обрезининым клином </t>
  </si>
  <si>
    <t>гайка оцинк. М16 DIN 125</t>
  </si>
  <si>
    <t>шайба  плоская оцинкованная  М16 DIN 125</t>
  </si>
  <si>
    <t>болт оцинкованный м16х70 гост 7798-70/7805</t>
  </si>
  <si>
    <t>прокладка парон.а-80-10</t>
  </si>
  <si>
    <t>соль техническая по 50кг</t>
  </si>
  <si>
    <t>веник для уборки 85см</t>
  </si>
  <si>
    <t>перчатки хлопчатобумажные с ПХВ</t>
  </si>
  <si>
    <t>перчатки хлопчатобумажные обливные размер 9/L</t>
  </si>
  <si>
    <t>перчаки хозяйственные BICOLOR сине-желтые</t>
  </si>
  <si>
    <t>изолента EG 15мм х5м синяя</t>
  </si>
  <si>
    <t>мыло жидкое ЯБЛОКО 5л ПЭТ</t>
  </si>
  <si>
    <t>ведро техническое 10л</t>
  </si>
  <si>
    <t>ковер влаговпитывающий 900*1200мм серый</t>
  </si>
  <si>
    <t>метла №10  новая с березовым черенком</t>
  </si>
  <si>
    <t>батарейка Promega AAА/LR03 БЛ/10шт</t>
  </si>
  <si>
    <t>батарейка Promega AA/LR06 БЛ/10шт</t>
  </si>
  <si>
    <t>соль техническая   (меш.=25кг)</t>
  </si>
  <si>
    <t>датчик температуры  КТПТР-0,5-100-П-А4-70</t>
  </si>
  <si>
    <t>покраска на детской площадке всех сооружений,  покраска лифтов</t>
  </si>
  <si>
    <r>
      <t xml:space="preserve">3067,2                           в месяц                     с 01.05.2022г.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 xml:space="preserve"> 3745,16</t>
    </r>
  </si>
  <si>
    <r>
      <t xml:space="preserve">     3672,00                            в месяц                                1 01.01.2023г.               </t>
    </r>
    <r>
      <rPr>
        <b/>
        <sz val="11"/>
        <color theme="1"/>
        <rFont val="Calibri"/>
        <family val="2"/>
        <charset val="204"/>
        <scheme val="minor"/>
      </rPr>
      <t xml:space="preserve">   3855,60</t>
    </r>
  </si>
  <si>
    <t>№ ГД5647</t>
  </si>
  <si>
    <t>№236</t>
  </si>
  <si>
    <t>09.12.2021г.</t>
  </si>
  <si>
    <t>№ 1/01122                                №04/НП</t>
  </si>
  <si>
    <t>05.09.2017г.                            01.06.2015г.</t>
  </si>
  <si>
    <t>Парковка</t>
  </si>
  <si>
    <t>22,33.</t>
  </si>
  <si>
    <t>Замена  стояка (разовая услуга)</t>
  </si>
  <si>
    <t>39250,00.</t>
  </si>
  <si>
    <r>
      <t>Аренда контейнера</t>
    </r>
    <r>
      <rPr>
        <sz val="9"/>
        <color theme="1"/>
        <rFont val="Calibri"/>
        <family val="2"/>
        <charset val="204"/>
      </rPr>
      <t xml:space="preserve"> (Алексеева Т.Б.)</t>
    </r>
  </si>
  <si>
    <t>замена в ИТП</t>
  </si>
  <si>
    <t>в помещинии  поБ.43 аренда</t>
  </si>
  <si>
    <t>счетчик горячей для воды</t>
  </si>
  <si>
    <t>заменены в урнах</t>
  </si>
  <si>
    <t xml:space="preserve">использованны на детской площадке и при </t>
  </si>
  <si>
    <t>установлены на лест клетках</t>
  </si>
  <si>
    <t>для замены на домах</t>
  </si>
  <si>
    <t xml:space="preserve">для заелки щелей  </t>
  </si>
  <si>
    <t>для посыпки взимнее время</t>
  </si>
  <si>
    <t>для рабочих</t>
  </si>
  <si>
    <r>
      <t xml:space="preserve">салфетки универсальные </t>
    </r>
    <r>
      <rPr>
        <sz val="9"/>
        <rFont val="Arial"/>
        <family val="2"/>
        <charset val="204"/>
      </rPr>
      <t>30х38см комплект 3шт, вискоза, желтые</t>
    </r>
  </si>
  <si>
    <r>
      <t>маркер перманентный</t>
    </r>
    <r>
      <rPr>
        <sz val="9"/>
        <rFont val="Arial"/>
        <family val="2"/>
        <charset val="204"/>
      </rPr>
      <t xml:space="preserve"> ATTACHE,KORES,EDOING,черный</t>
    </r>
  </si>
  <si>
    <r>
      <t>батарейка</t>
    </r>
    <r>
      <rPr>
        <sz val="8"/>
        <rFont val="Arial"/>
        <family val="2"/>
        <charset val="204"/>
      </rPr>
      <t xml:space="preserve"> Promega 6LR61/Крона 9V/1604А  алкапин бл/1</t>
    </r>
  </si>
  <si>
    <r>
      <t xml:space="preserve">леска для триммера </t>
    </r>
    <r>
      <rPr>
        <sz val="9"/>
        <rFont val="Arial"/>
        <family val="2"/>
        <charset val="204"/>
      </rPr>
      <t>Hammer витой квадрат в блистере</t>
    </r>
  </si>
  <si>
    <r>
      <t xml:space="preserve">лампа светодиодная </t>
    </r>
    <r>
      <rPr>
        <sz val="9"/>
        <rFont val="Arial"/>
        <family val="2"/>
        <charset val="204"/>
      </rPr>
      <t>ОНЛАЙТ OLL-G45-6-230 4Л-Е27</t>
    </r>
  </si>
  <si>
    <t>губка для мытья посуды  металлическая чисто-солнышко(упак.=2шт)</t>
  </si>
  <si>
    <t>полотно техническре д/протирки Нетколь (1005х/б ,1290г/кв.м.,78смх50м)</t>
  </si>
  <si>
    <t>салфетки влажные эконом универсальные (упак.=100шт) с клапаном</t>
  </si>
  <si>
    <t xml:space="preserve">средство чистящее универсальное Пермолюкс Сода яблоко </t>
  </si>
  <si>
    <t>точилка для карандаша с контенером , цвет зеленный 2шт</t>
  </si>
  <si>
    <r>
      <t xml:space="preserve">краска фасадная бежевая </t>
    </r>
    <r>
      <rPr>
        <sz val="9"/>
        <rFont val="Arial"/>
        <family val="2"/>
        <charset val="204"/>
      </rPr>
      <t xml:space="preserve"> NWK TURY(1 банка-20 кг)</t>
    </r>
  </si>
  <si>
    <t>Приложение № 3</t>
  </si>
  <si>
    <t>Оплата                  руб.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</si>
</sst>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0.0"/>
  </numFmts>
  <fonts count="2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2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43" fontId="22" fillId="0" borderId="0" applyFont="0" applyFill="0" applyBorder="0" applyAlignment="0" applyProtection="0"/>
  </cellStyleXfs>
  <cellXfs count="584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/>
    </xf>
    <xf numFmtId="14" fontId="0" fillId="0" borderId="1" xfId="0" applyNumberFormat="1" applyFont="1" applyFill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14" fontId="0" fillId="0" borderId="1" xfId="0" applyNumberFormat="1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/>
    <xf numFmtId="2" fontId="0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0" fillId="0" borderId="4" xfId="0" applyFill="1" applyBorder="1" applyAlignment="1">
      <alignment vertical="top" wrapText="1"/>
    </xf>
    <xf numFmtId="164" fontId="0" fillId="0" borderId="1" xfId="0" applyNumberForma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14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14" fontId="6" fillId="0" borderId="1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7" fontId="6" fillId="0" borderId="0" xfId="0" applyNumberFormat="1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top" wrapText="1"/>
    </xf>
    <xf numFmtId="14" fontId="5" fillId="0" borderId="2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4" fontId="7" fillId="0" borderId="1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4" fontId="8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right" wrapText="1"/>
    </xf>
    <xf numFmtId="14" fontId="0" fillId="0" borderId="0" xfId="0" applyNumberFormat="1"/>
    <xf numFmtId="0" fontId="0" fillId="0" borderId="0" xfId="0" applyBorder="1"/>
    <xf numFmtId="0" fontId="1" fillId="0" borderId="0" xfId="0" applyFont="1" applyBorder="1"/>
    <xf numFmtId="4" fontId="1" fillId="0" borderId="0" xfId="0" applyNumberFormat="1" applyFont="1" applyBorder="1"/>
    <xf numFmtId="0" fontId="7" fillId="0" borderId="3" xfId="0" applyFont="1" applyBorder="1"/>
    <xf numFmtId="4" fontId="7" fillId="0" borderId="1" xfId="0" applyNumberFormat="1" applyFont="1" applyBorder="1" applyAlignment="1">
      <alignment horizontal="right" wrapText="1"/>
    </xf>
    <xf numFmtId="0" fontId="7" fillId="0" borderId="4" xfId="0" applyFont="1" applyBorder="1"/>
    <xf numFmtId="2" fontId="7" fillId="0" borderId="4" xfId="0" applyNumberFormat="1" applyFont="1" applyBorder="1"/>
    <xf numFmtId="0" fontId="5" fillId="0" borderId="19" xfId="0" applyFont="1" applyBorder="1"/>
    <xf numFmtId="4" fontId="5" fillId="0" borderId="20" xfId="0" applyNumberFormat="1" applyFont="1" applyBorder="1"/>
    <xf numFmtId="4" fontId="5" fillId="0" borderId="21" xfId="0" applyNumberFormat="1" applyFont="1" applyBorder="1"/>
    <xf numFmtId="0" fontId="1" fillId="0" borderId="0" xfId="0" applyFont="1" applyBorder="1" applyAlignment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6" fontId="0" fillId="0" borderId="1" xfId="0" applyNumberFormat="1" applyFill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165" fontId="0" fillId="0" borderId="0" xfId="0" applyNumberFormat="1"/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vertical="top" wrapText="1"/>
    </xf>
    <xf numFmtId="14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/>
    </xf>
    <xf numFmtId="16" fontId="6" fillId="0" borderId="2" xfId="0" applyNumberFormat="1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top"/>
    </xf>
    <xf numFmtId="14" fontId="0" fillId="0" borderId="8" xfId="0" applyNumberFormat="1" applyFont="1" applyFill="1" applyBorder="1" applyAlignment="1">
      <alignment horizontal="center" vertical="top"/>
    </xf>
    <xf numFmtId="2" fontId="0" fillId="0" borderId="8" xfId="0" applyNumberForma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top"/>
    </xf>
    <xf numFmtId="2" fontId="0" fillId="0" borderId="1" xfId="0" applyNumberForma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top"/>
    </xf>
    <xf numFmtId="17" fontId="6" fillId="0" borderId="20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top" wrapText="1"/>
    </xf>
    <xf numFmtId="4" fontId="11" fillId="3" borderId="1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 wrapText="1"/>
    </xf>
    <xf numFmtId="14" fontId="0" fillId="0" borderId="27" xfId="0" applyNumberFormat="1" applyBorder="1" applyAlignment="1">
      <alignment horizontal="center" vertical="top"/>
    </xf>
    <xf numFmtId="2" fontId="0" fillId="0" borderId="27" xfId="0" applyNumberFormat="1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top" wrapText="1"/>
    </xf>
    <xf numFmtId="14" fontId="0" fillId="0" borderId="6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center" vertical="top" wrapText="1"/>
    </xf>
    <xf numFmtId="14" fontId="0" fillId="0" borderId="8" xfId="0" applyNumberForma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/>
    <xf numFmtId="4" fontId="7" fillId="0" borderId="2" xfId="0" applyNumberFormat="1" applyFont="1" applyBorder="1" applyAlignment="1">
      <alignment horizontal="right" wrapText="1"/>
    </xf>
    <xf numFmtId="2" fontId="6" fillId="0" borderId="20" xfId="0" applyNumberFormat="1" applyFont="1" applyBorder="1" applyAlignment="1">
      <alignment horizontal="center" vertical="center" wrapText="1"/>
    </xf>
    <xf numFmtId="4" fontId="0" fillId="0" borderId="0" xfId="0" applyNumberFormat="1"/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4" borderId="19" xfId="1" applyNumberFormat="1" applyFont="1" applyFill="1" applyBorder="1" applyAlignment="1">
      <alignment horizontal="center" vertical="center" wrapText="1"/>
    </xf>
    <xf numFmtId="0" fontId="14" fillId="4" borderId="20" xfId="1" applyNumberFormat="1" applyFont="1" applyFill="1" applyBorder="1" applyAlignment="1">
      <alignment horizontal="center" vertical="center" wrapText="1"/>
    </xf>
    <xf numFmtId="0" fontId="14" fillId="4" borderId="20" xfId="1" applyNumberFormat="1" applyFont="1" applyFill="1" applyBorder="1" applyAlignment="1">
      <alignment horizontal="center" vertical="top" wrapText="1"/>
    </xf>
    <xf numFmtId="0" fontId="15" fillId="0" borderId="10" xfId="1" applyNumberFormat="1" applyFont="1" applyBorder="1" applyAlignment="1">
      <alignment horizontal="center" vertical="top"/>
    </xf>
    <xf numFmtId="0" fontId="15" fillId="0" borderId="2" xfId="0" applyNumberFormat="1" applyFont="1" applyBorder="1" applyAlignment="1">
      <alignment vertical="top"/>
    </xf>
    <xf numFmtId="0" fontId="15" fillId="0" borderId="2" xfId="1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right"/>
    </xf>
    <xf numFmtId="0" fontId="15" fillId="0" borderId="3" xfId="1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vertical="top"/>
    </xf>
    <xf numFmtId="0" fontId="15" fillId="0" borderId="1" xfId="1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right"/>
    </xf>
    <xf numFmtId="0" fontId="15" fillId="0" borderId="1" xfId="1" applyNumberFormat="1" applyFont="1" applyBorder="1" applyAlignment="1">
      <alignment horizontal="center" vertical="top"/>
    </xf>
    <xf numFmtId="0" fontId="15" fillId="0" borderId="1" xfId="1" applyNumberFormat="1" applyFont="1" applyBorder="1" applyAlignment="1">
      <alignment horizontal="right" vertical="top"/>
    </xf>
    <xf numFmtId="0" fontId="17" fillId="0" borderId="4" xfId="0" applyFont="1" applyBorder="1" applyAlignment="1">
      <alignment horizontal="right" vertical="center"/>
    </xf>
    <xf numFmtId="4" fontId="15" fillId="0" borderId="1" xfId="1" applyNumberFormat="1" applyFont="1" applyBorder="1" applyAlignment="1">
      <alignment horizontal="right" vertical="top"/>
    </xf>
    <xf numFmtId="0" fontId="15" fillId="0" borderId="13" xfId="1" applyNumberFormat="1" applyFont="1" applyBorder="1" applyAlignment="1">
      <alignment horizontal="center" vertical="top"/>
    </xf>
    <xf numFmtId="0" fontId="15" fillId="0" borderId="14" xfId="0" applyNumberFormat="1" applyFont="1" applyBorder="1" applyAlignment="1">
      <alignment horizontal="left" vertical="top" wrapText="1"/>
    </xf>
    <xf numFmtId="4" fontId="15" fillId="0" borderId="14" xfId="1" applyNumberFormat="1" applyFont="1" applyBorder="1" applyAlignment="1">
      <alignment horizontal="right" vertical="top"/>
    </xf>
    <xf numFmtId="0" fontId="15" fillId="0" borderId="14" xfId="0" applyNumberFormat="1" applyFont="1" applyBorder="1" applyAlignment="1">
      <alignment vertical="top"/>
    </xf>
    <xf numFmtId="0" fontId="15" fillId="0" borderId="2" xfId="1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vertical="center"/>
    </xf>
    <xf numFmtId="0" fontId="17" fillId="0" borderId="4" xfId="0" applyFont="1" applyBorder="1" applyAlignment="1">
      <alignment horizontal="left" wrapText="1"/>
    </xf>
    <xf numFmtId="0" fontId="15" fillId="0" borderId="1" xfId="1" applyNumberFormat="1" applyFont="1" applyBorder="1" applyAlignment="1">
      <alignment vertical="top" wrapText="1"/>
    </xf>
    <xf numFmtId="0" fontId="15" fillId="0" borderId="14" xfId="1" applyNumberFormat="1" applyFont="1" applyBorder="1" applyAlignment="1">
      <alignment vertical="top" wrapText="1"/>
    </xf>
    <xf numFmtId="0" fontId="15" fillId="0" borderId="14" xfId="1" applyNumberFormat="1" applyFont="1" applyBorder="1" applyAlignment="1">
      <alignment horizontal="center" vertical="top"/>
    </xf>
    <xf numFmtId="0" fontId="15" fillId="0" borderId="14" xfId="1" applyNumberFormat="1" applyFont="1" applyBorder="1" applyAlignment="1">
      <alignment horizontal="right" vertical="top"/>
    </xf>
    <xf numFmtId="0" fontId="15" fillId="0" borderId="1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top"/>
    </xf>
    <xf numFmtId="0" fontId="15" fillId="0" borderId="3" xfId="1" applyNumberFormat="1" applyFont="1" applyBorder="1" applyAlignment="1">
      <alignment horizontal="center" vertical="top" wrapText="1"/>
    </xf>
    <xf numFmtId="0" fontId="15" fillId="0" borderId="13" xfId="1" applyNumberFormat="1" applyFont="1" applyBorder="1" applyAlignment="1">
      <alignment horizontal="center" vertical="center"/>
    </xf>
    <xf numFmtId="4" fontId="15" fillId="0" borderId="2" xfId="1" applyNumberFormat="1" applyFont="1" applyBorder="1" applyAlignment="1">
      <alignment horizontal="right" vertical="top"/>
    </xf>
    <xf numFmtId="2" fontId="15" fillId="0" borderId="14" xfId="1" applyNumberFormat="1" applyFont="1" applyBorder="1" applyAlignment="1">
      <alignment horizontal="right" vertical="top"/>
    </xf>
    <xf numFmtId="0" fontId="17" fillId="0" borderId="15" xfId="0" applyFont="1" applyBorder="1" applyAlignment="1">
      <alignment horizontal="right"/>
    </xf>
    <xf numFmtId="0" fontId="15" fillId="0" borderId="1" xfId="0" applyNumberFormat="1" applyFont="1" applyBorder="1" applyAlignment="1">
      <alignment vertical="top" wrapText="1"/>
    </xf>
    <xf numFmtId="0" fontId="18" fillId="0" borderId="4" xfId="0" applyFont="1" applyBorder="1" applyAlignment="1">
      <alignment horizontal="right" vertical="center"/>
    </xf>
    <xf numFmtId="0" fontId="15" fillId="0" borderId="1" xfId="1" applyNumberFormat="1" applyFont="1" applyFill="1" applyBorder="1" applyAlignment="1">
      <alignment horizontal="left" vertical="center"/>
    </xf>
    <xf numFmtId="2" fontId="15" fillId="0" borderId="1" xfId="1" applyNumberFormat="1" applyFont="1" applyFill="1" applyBorder="1" applyAlignment="1">
      <alignment horizontal="right" vertical="center"/>
    </xf>
    <xf numFmtId="0" fontId="17" fillId="0" borderId="4" xfId="0" applyFont="1" applyBorder="1" applyAlignment="1">
      <alignment horizontal="right" wrapText="1"/>
    </xf>
    <xf numFmtId="0" fontId="15" fillId="0" borderId="1" xfId="0" applyNumberFormat="1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/>
    <xf numFmtId="0" fontId="17" fillId="0" borderId="5" xfId="0" applyFont="1" applyBorder="1"/>
    <xf numFmtId="0" fontId="17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" fontId="17" fillId="0" borderId="4" xfId="0" applyNumberFormat="1" applyFont="1" applyBorder="1"/>
    <xf numFmtId="2" fontId="17" fillId="0" borderId="39" xfId="0" applyNumberFormat="1" applyFont="1" applyBorder="1"/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2" fontId="17" fillId="0" borderId="15" xfId="0" applyNumberFormat="1" applyFont="1" applyBorder="1"/>
    <xf numFmtId="0" fontId="17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2" fontId="20" fillId="0" borderId="21" xfId="0" applyNumberFormat="1" applyFont="1" applyBorder="1"/>
    <xf numFmtId="0" fontId="20" fillId="0" borderId="2" xfId="0" applyFont="1" applyBorder="1" applyAlignment="1">
      <alignment horizontal="center"/>
    </xf>
    <xf numFmtId="2" fontId="20" fillId="0" borderId="5" xfId="0" applyNumberFormat="1" applyFont="1" applyBorder="1"/>
    <xf numFmtId="4" fontId="15" fillId="0" borderId="39" xfId="1" applyNumberFormat="1" applyFont="1" applyBorder="1" applyAlignment="1">
      <alignment horizontal="right" vertical="top" wrapText="1"/>
    </xf>
    <xf numFmtId="4" fontId="16" fillId="0" borderId="15" xfId="1" applyNumberFormat="1" applyFont="1" applyBorder="1" applyAlignment="1">
      <alignment horizontal="right" vertical="top" wrapText="1"/>
    </xf>
    <xf numFmtId="0" fontId="17" fillId="0" borderId="20" xfId="0" applyFont="1" applyBorder="1" applyAlignment="1">
      <alignment horizontal="center"/>
    </xf>
    <xf numFmtId="4" fontId="16" fillId="0" borderId="21" xfId="1" applyNumberFormat="1" applyFont="1" applyBorder="1" applyAlignment="1">
      <alignment horizontal="right" vertical="top" wrapText="1"/>
    </xf>
    <xf numFmtId="0" fontId="17" fillId="0" borderId="2" xfId="0" applyFont="1" applyBorder="1" applyAlignment="1">
      <alignment horizontal="center"/>
    </xf>
    <xf numFmtId="4" fontId="15" fillId="0" borderId="5" xfId="1" applyNumberFormat="1" applyFont="1" applyBorder="1" applyAlignment="1">
      <alignment horizontal="right" vertical="top" wrapText="1"/>
    </xf>
    <xf numFmtId="4" fontId="15" fillId="0" borderId="4" xfId="1" applyNumberFormat="1" applyFont="1" applyBorder="1" applyAlignment="1">
      <alignment horizontal="right" vertical="top"/>
    </xf>
    <xf numFmtId="2" fontId="15" fillId="0" borderId="4" xfId="1" applyNumberFormat="1" applyFont="1" applyBorder="1" applyAlignment="1">
      <alignment horizontal="right" vertical="top"/>
    </xf>
    <xf numFmtId="0" fontId="17" fillId="0" borderId="26" xfId="0" applyFont="1" applyBorder="1" applyAlignment="1">
      <alignment horizontal="center"/>
    </xf>
    <xf numFmtId="4" fontId="15" fillId="0" borderId="15" xfId="1" applyNumberFormat="1" applyFont="1" applyBorder="1" applyAlignment="1">
      <alignment horizontal="right" vertical="top"/>
    </xf>
    <xf numFmtId="2" fontId="15" fillId="0" borderId="15" xfId="1" applyNumberFormat="1" applyFont="1" applyBorder="1" applyAlignment="1">
      <alignment horizontal="right" vertical="top"/>
    </xf>
    <xf numFmtId="0" fontId="20" fillId="0" borderId="19" xfId="0" applyFont="1" applyBorder="1"/>
    <xf numFmtId="0" fontId="20" fillId="0" borderId="20" xfId="0" applyFont="1" applyBorder="1"/>
    <xf numFmtId="4" fontId="20" fillId="0" borderId="21" xfId="0" applyNumberFormat="1" applyFont="1" applyBorder="1"/>
    <xf numFmtId="0" fontId="17" fillId="0" borderId="15" xfId="0" applyFont="1" applyBorder="1" applyAlignment="1">
      <alignment horizontal="right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right" vertical="top"/>
    </xf>
    <xf numFmtId="0" fontId="17" fillId="0" borderId="15" xfId="0" applyFont="1" applyFill="1" applyBorder="1" applyAlignment="1">
      <alignment horizontal="right"/>
    </xf>
    <xf numFmtId="0" fontId="0" fillId="0" borderId="0" xfId="0" applyFill="1" applyBorder="1"/>
    <xf numFmtId="0" fontId="15" fillId="0" borderId="2" xfId="1" applyNumberFormat="1" applyFont="1" applyBorder="1" applyAlignment="1">
      <alignment horizontal="right" vertical="top"/>
    </xf>
    <xf numFmtId="0" fontId="15" fillId="0" borderId="14" xfId="1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right"/>
    </xf>
    <xf numFmtId="4" fontId="17" fillId="0" borderId="4" xfId="0" applyNumberFormat="1" applyFont="1" applyBorder="1" applyAlignment="1">
      <alignment horizontal="right"/>
    </xf>
    <xf numFmtId="0" fontId="17" fillId="0" borderId="4" xfId="0" applyFont="1" applyFill="1" applyBorder="1" applyAlignment="1">
      <alignment horizontal="right"/>
    </xf>
    <xf numFmtId="0" fontId="15" fillId="0" borderId="1" xfId="1" applyNumberFormat="1" applyFont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right" vertical="center"/>
    </xf>
    <xf numFmtId="4" fontId="15" fillId="0" borderId="14" xfId="1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4" fontId="15" fillId="0" borderId="0" xfId="1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right" wrapText="1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vertical="center"/>
    </xf>
    <xf numFmtId="2" fontId="0" fillId="0" borderId="1" xfId="0" applyNumberFormat="1" applyBorder="1"/>
    <xf numFmtId="0" fontId="2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2" fontId="0" fillId="0" borderId="1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wrapText="1"/>
    </xf>
    <xf numFmtId="4" fontId="17" fillId="0" borderId="0" xfId="0" applyNumberFormat="1" applyFont="1" applyFill="1" applyBorder="1" applyAlignment="1">
      <alignment horizontal="right"/>
    </xf>
    <xf numFmtId="2" fontId="22" fillId="0" borderId="1" xfId="0" applyNumberFormat="1" applyFont="1" applyFill="1" applyBorder="1"/>
    <xf numFmtId="0" fontId="14" fillId="4" borderId="17" xfId="1" applyNumberFormat="1" applyFont="1" applyFill="1" applyBorder="1" applyAlignment="1">
      <alignment horizontal="center" vertical="center" wrapText="1"/>
    </xf>
    <xf numFmtId="0" fontId="14" fillId="4" borderId="21" xfId="1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right"/>
    </xf>
    <xf numFmtId="0" fontId="17" fillId="0" borderId="4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vertical="center"/>
    </xf>
    <xf numFmtId="0" fontId="15" fillId="0" borderId="1" xfId="0" applyNumberFormat="1" applyFont="1" applyBorder="1" applyAlignment="1">
      <alignment vertical="center" wrapText="1"/>
    </xf>
    <xf numFmtId="0" fontId="15" fillId="0" borderId="3" xfId="1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top" wrapText="1"/>
    </xf>
    <xf numFmtId="0" fontId="15" fillId="0" borderId="1" xfId="1" applyNumberFormat="1" applyFont="1" applyBorder="1" applyAlignment="1">
      <alignment horizontal="center" vertical="center"/>
    </xf>
    <xf numFmtId="2" fontId="0" fillId="0" borderId="1" xfId="2" applyNumberFormat="1" applyFont="1" applyFill="1" applyBorder="1" applyAlignment="1"/>
    <xf numFmtId="0" fontId="15" fillId="0" borderId="1" xfId="1" applyNumberFormat="1" applyFont="1" applyFill="1" applyBorder="1" applyAlignment="1">
      <alignment horizontal="center" vertical="top" wrapText="1"/>
    </xf>
    <xf numFmtId="0" fontId="15" fillId="0" borderId="14" xfId="0" applyNumberFormat="1" applyFont="1" applyBorder="1" applyAlignment="1">
      <alignment vertical="top" wrapText="1"/>
    </xf>
    <xf numFmtId="0" fontId="15" fillId="0" borderId="14" xfId="1" applyNumberFormat="1" applyFont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2" fontId="0" fillId="0" borderId="14" xfId="0" applyNumberFormat="1" applyBorder="1" applyAlignment="1">
      <alignment vertical="center"/>
    </xf>
    <xf numFmtId="0" fontId="0" fillId="0" borderId="2" xfId="0" applyBorder="1"/>
    <xf numFmtId="2" fontId="0" fillId="0" borderId="2" xfId="0" applyNumberFormat="1" applyBorder="1"/>
    <xf numFmtId="0" fontId="15" fillId="0" borderId="14" xfId="1" applyNumberFormat="1" applyFont="1" applyBorder="1" applyAlignment="1">
      <alignment horizontal="center" vertical="top" wrapText="1"/>
    </xf>
    <xf numFmtId="0" fontId="0" fillId="0" borderId="14" xfId="0" applyFill="1" applyBorder="1" applyAlignment="1">
      <alignment horizontal="center"/>
    </xf>
    <xf numFmtId="2" fontId="0" fillId="0" borderId="14" xfId="0" applyNumberFormat="1" applyFill="1" applyBorder="1"/>
    <xf numFmtId="0" fontId="0" fillId="0" borderId="2" xfId="0" applyFill="1" applyBorder="1"/>
    <xf numFmtId="2" fontId="0" fillId="0" borderId="2" xfId="0" applyNumberFormat="1" applyFill="1" applyBorder="1"/>
    <xf numFmtId="0" fontId="15" fillId="0" borderId="14" xfId="0" applyNumberFormat="1" applyFont="1" applyBorder="1" applyAlignment="1">
      <alignment vertical="center"/>
    </xf>
    <xf numFmtId="0" fontId="15" fillId="0" borderId="14" xfId="1" applyNumberFormat="1" applyFont="1" applyBorder="1" applyAlignment="1">
      <alignment horizontal="center" vertical="center"/>
    </xf>
    <xf numFmtId="0" fontId="15" fillId="0" borderId="2" xfId="1" applyNumberFormat="1" applyFont="1" applyFill="1" applyBorder="1" applyAlignment="1">
      <alignment horizontal="left" vertical="center"/>
    </xf>
    <xf numFmtId="0" fontId="15" fillId="0" borderId="2" xfId="1" applyNumberFormat="1" applyFont="1" applyFill="1" applyBorder="1" applyAlignment="1">
      <alignment horizontal="center" vertical="top"/>
    </xf>
    <xf numFmtId="2" fontId="17" fillId="0" borderId="0" xfId="0" applyNumberFormat="1" applyFont="1" applyFill="1" applyBorder="1" applyAlignment="1">
      <alignment horizontal="right"/>
    </xf>
    <xf numFmtId="0" fontId="15" fillId="0" borderId="2" xfId="1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top"/>
    </xf>
    <xf numFmtId="0" fontId="15" fillId="0" borderId="2" xfId="1" applyNumberFormat="1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right" vertical="center"/>
    </xf>
    <xf numFmtId="0" fontId="15" fillId="0" borderId="2" xfId="0" applyNumberFormat="1" applyFont="1" applyFill="1" applyBorder="1" applyAlignment="1">
      <alignment vertical="top"/>
    </xf>
    <xf numFmtId="0" fontId="17" fillId="0" borderId="4" xfId="0" applyFont="1" applyBorder="1" applyAlignment="1">
      <alignment wrapText="1"/>
    </xf>
    <xf numFmtId="0" fontId="15" fillId="0" borderId="10" xfId="1" applyNumberFormat="1" applyFont="1" applyFill="1" applyBorder="1" applyAlignment="1">
      <alignment horizontal="center" vertical="top" wrapText="1"/>
    </xf>
    <xf numFmtId="0" fontId="15" fillId="0" borderId="3" xfId="1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15" fillId="0" borderId="10" xfId="1" applyNumberFormat="1" applyFont="1" applyFill="1" applyBorder="1" applyAlignment="1">
      <alignment horizontal="center" vertical="center" wrapText="1"/>
    </xf>
    <xf numFmtId="0" fontId="0" fillId="0" borderId="14" xfId="0" applyBorder="1"/>
    <xf numFmtId="2" fontId="0" fillId="0" borderId="14" xfId="0" applyNumberFormat="1" applyBorder="1"/>
    <xf numFmtId="14" fontId="6" fillId="0" borderId="5" xfId="0" applyNumberFormat="1" applyFont="1" applyFill="1" applyBorder="1" applyAlignment="1">
      <alignment horizontal="right" vertical="center" wrapText="1"/>
    </xf>
    <xf numFmtId="0" fontId="17" fillId="0" borderId="28" xfId="0" applyFont="1" applyBorder="1" applyAlignment="1">
      <alignment horizontal="center" vertical="center" wrapText="1"/>
    </xf>
    <xf numFmtId="0" fontId="15" fillId="0" borderId="10" xfId="1" applyNumberFormat="1" applyFont="1" applyBorder="1" applyAlignment="1">
      <alignment horizontal="center" vertical="center"/>
    </xf>
    <xf numFmtId="0" fontId="15" fillId="0" borderId="3" xfId="1" applyNumberFormat="1" applyFont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0" fontId="19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0" fillId="0" borderId="0" xfId="2" applyNumberFormat="1" applyFont="1" applyFill="1" applyBorder="1" applyAlignment="1"/>
    <xf numFmtId="0" fontId="19" fillId="0" borderId="0" xfId="0" applyFont="1" applyFill="1" applyBorder="1" applyAlignment="1">
      <alignment vertical="center"/>
    </xf>
    <xf numFmtId="16" fontId="0" fillId="0" borderId="0" xfId="0" applyNumberFormat="1" applyFill="1" applyBorder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0" fillId="0" borderId="15" xfId="0" applyFont="1" applyBorder="1" applyAlignment="1">
      <alignment vertical="center"/>
    </xf>
    <xf numFmtId="0" fontId="0" fillId="0" borderId="2" xfId="0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6" fillId="0" borderId="3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4" fontId="5" fillId="0" borderId="2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0" fontId="6" fillId="0" borderId="37" xfId="0" applyFont="1" applyBorder="1" applyAlignment="1">
      <alignment horizontal="left" vertical="center"/>
    </xf>
    <xf numFmtId="2" fontId="6" fillId="0" borderId="2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Border="1"/>
    <xf numFmtId="14" fontId="6" fillId="0" borderId="4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21" xfId="0" applyNumberFormat="1" applyFont="1" applyBorder="1"/>
    <xf numFmtId="0" fontId="6" fillId="0" borderId="0" xfId="0" applyFont="1" applyBorder="1"/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/>
    <xf numFmtId="4" fontId="7" fillId="0" borderId="8" xfId="0" applyNumberFormat="1" applyFont="1" applyBorder="1" applyAlignment="1">
      <alignment horizontal="right" wrapText="1"/>
    </xf>
    <xf numFmtId="0" fontId="7" fillId="0" borderId="9" xfId="0" applyFont="1" applyBorder="1"/>
    <xf numFmtId="0" fontId="5" fillId="0" borderId="19" xfId="0" applyFont="1" applyBorder="1" applyAlignment="1">
      <alignment wrapText="1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6" fillId="0" borderId="19" xfId="0" applyFont="1" applyBorder="1"/>
    <xf numFmtId="0" fontId="5" fillId="0" borderId="20" xfId="0" applyFont="1" applyBorder="1"/>
    <xf numFmtId="0" fontId="15" fillId="0" borderId="1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21" fillId="0" borderId="1" xfId="1" applyNumberFormat="1" applyFont="1" applyBorder="1" applyAlignment="1">
      <alignment horizontal="center" vertical="top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5" fillId="0" borderId="0" xfId="1" applyNumberFormat="1" applyFont="1" applyFill="1" applyBorder="1" applyAlignment="1">
      <alignment horizontal="center" vertical="top"/>
    </xf>
    <xf numFmtId="0" fontId="16" fillId="0" borderId="0" xfId="1" applyNumberFormat="1" applyFont="1" applyFill="1" applyBorder="1" applyAlignment="1">
      <alignment horizontal="center" vertical="center"/>
    </xf>
    <xf numFmtId="0" fontId="15" fillId="0" borderId="0" xfId="1" applyNumberFormat="1" applyFont="1" applyFill="1" applyBorder="1" applyAlignment="1">
      <alignment horizontal="center" vertical="top" wrapText="1"/>
    </xf>
    <xf numFmtId="2" fontId="16" fillId="0" borderId="0" xfId="1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left" vertical="center" wrapText="1"/>
    </xf>
    <xf numFmtId="4" fontId="6" fillId="0" borderId="2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14" fontId="6" fillId="0" borderId="23" xfId="0" applyNumberFormat="1" applyFont="1" applyFill="1" applyBorder="1" applyAlignment="1">
      <alignment horizontal="right" vertical="center" wrapText="1"/>
    </xf>
    <xf numFmtId="14" fontId="6" fillId="0" borderId="5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5" fillId="2" borderId="12" xfId="1" applyNumberFormat="1" applyFont="1" applyFill="1" applyBorder="1" applyAlignment="1">
      <alignment vertical="top" wrapText="1" indent="2"/>
    </xf>
    <xf numFmtId="0" fontId="15" fillId="2" borderId="18" xfId="1" applyNumberFormat="1" applyFont="1" applyFill="1" applyBorder="1" applyAlignment="1">
      <alignment vertical="top" wrapText="1" indent="2"/>
    </xf>
    <xf numFmtId="0" fontId="16" fillId="2" borderId="6" xfId="1" applyNumberFormat="1" applyFont="1" applyFill="1" applyBorder="1" applyAlignment="1">
      <alignment horizontal="center" vertical="center"/>
    </xf>
    <xf numFmtId="0" fontId="16" fillId="2" borderId="8" xfId="1" applyNumberFormat="1" applyFont="1" applyFill="1" applyBorder="1" applyAlignment="1">
      <alignment horizontal="center" vertical="center"/>
    </xf>
    <xf numFmtId="0" fontId="15" fillId="2" borderId="31" xfId="1" applyNumberFormat="1" applyFont="1" applyFill="1" applyBorder="1" applyAlignment="1">
      <alignment horizontal="center" vertical="top"/>
    </xf>
    <xf numFmtId="0" fontId="15" fillId="2" borderId="32" xfId="1" applyNumberFormat="1" applyFont="1" applyFill="1" applyBorder="1" applyAlignment="1">
      <alignment horizontal="center" vertical="top"/>
    </xf>
    <xf numFmtId="0" fontId="15" fillId="2" borderId="6" xfId="1" applyNumberFormat="1" applyFont="1" applyFill="1" applyBorder="1" applyAlignment="1">
      <alignment horizontal="center" vertical="top"/>
    </xf>
    <xf numFmtId="0" fontId="15" fillId="2" borderId="8" xfId="1" applyNumberFormat="1" applyFont="1" applyFill="1" applyBorder="1" applyAlignment="1">
      <alignment horizontal="center" vertical="top"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right"/>
    </xf>
    <xf numFmtId="0" fontId="17" fillId="2" borderId="33" xfId="0" applyFont="1" applyFill="1" applyBorder="1" applyAlignment="1">
      <alignment horizontal="right"/>
    </xf>
    <xf numFmtId="0" fontId="15" fillId="0" borderId="10" xfId="1" applyNumberFormat="1" applyFont="1" applyBorder="1" applyAlignment="1">
      <alignment horizontal="center" vertical="center"/>
    </xf>
    <xf numFmtId="0" fontId="15" fillId="0" borderId="3" xfId="1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left" vertical="top" wrapText="1"/>
    </xf>
    <xf numFmtId="0" fontId="15" fillId="0" borderId="2" xfId="0" applyNumberFormat="1" applyFont="1" applyBorder="1" applyAlignment="1">
      <alignment horizontal="left" vertical="top" wrapText="1"/>
    </xf>
    <xf numFmtId="0" fontId="15" fillId="0" borderId="2" xfId="1" applyNumberFormat="1" applyFont="1" applyBorder="1" applyAlignment="1">
      <alignment horizontal="center" vertical="center"/>
    </xf>
    <xf numFmtId="0" fontId="15" fillId="0" borderId="1" xfId="1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5" fillId="2" borderId="6" xfId="1" applyNumberFormat="1" applyFont="1" applyFill="1" applyBorder="1" applyAlignment="1">
      <alignment horizontal="center" vertical="top" wrapText="1"/>
    </xf>
    <xf numFmtId="0" fontId="15" fillId="2" borderId="8" xfId="1" applyNumberFormat="1" applyFont="1" applyFill="1" applyBorder="1" applyAlignment="1">
      <alignment horizontal="center" vertical="top" wrapText="1"/>
    </xf>
    <xf numFmtId="2" fontId="15" fillId="2" borderId="6" xfId="1" applyNumberFormat="1" applyFont="1" applyFill="1" applyBorder="1" applyAlignment="1">
      <alignment horizontal="center" vertical="top" wrapText="1"/>
    </xf>
    <xf numFmtId="2" fontId="15" fillId="2" borderId="8" xfId="1" applyNumberFormat="1" applyFont="1" applyFill="1" applyBorder="1" applyAlignment="1">
      <alignment horizontal="center" vertical="top" wrapText="1"/>
    </xf>
    <xf numFmtId="2" fontId="16" fillId="2" borderId="6" xfId="1" applyNumberFormat="1" applyFont="1" applyFill="1" applyBorder="1" applyAlignment="1">
      <alignment horizontal="center" vertical="center" wrapText="1"/>
    </xf>
    <xf numFmtId="2" fontId="16" fillId="2" borderId="8" xfId="1" applyNumberFormat="1" applyFont="1" applyFill="1" applyBorder="1" applyAlignment="1">
      <alignment horizontal="center" vertical="center" wrapText="1"/>
    </xf>
    <xf numFmtId="4" fontId="15" fillId="2" borderId="6" xfId="1" applyNumberFormat="1" applyFont="1" applyFill="1" applyBorder="1" applyAlignment="1">
      <alignment horizontal="center" vertical="center" wrapText="1"/>
    </xf>
    <xf numFmtId="4" fontId="15" fillId="2" borderId="8" xfId="1" applyNumberFormat="1" applyFont="1" applyFill="1" applyBorder="1" applyAlignment="1">
      <alignment horizontal="center" vertical="center" wrapText="1"/>
    </xf>
    <xf numFmtId="4" fontId="16" fillId="2" borderId="6" xfId="1" applyNumberFormat="1" applyFont="1" applyFill="1" applyBorder="1" applyAlignment="1">
      <alignment horizontal="center" vertical="center" wrapText="1"/>
    </xf>
    <xf numFmtId="4" fontId="16" fillId="2" borderId="8" xfId="1" applyNumberFormat="1" applyFont="1" applyFill="1" applyBorder="1" applyAlignment="1">
      <alignment horizontal="center" vertical="center" wrapText="1"/>
    </xf>
    <xf numFmtId="0" fontId="16" fillId="2" borderId="6" xfId="1" applyNumberFormat="1" applyFont="1" applyFill="1" applyBorder="1" applyAlignment="1">
      <alignment horizontal="center" vertical="center" wrapText="1"/>
    </xf>
    <xf numFmtId="0" fontId="16" fillId="2" borderId="8" xfId="1" applyNumberFormat="1" applyFont="1" applyFill="1" applyBorder="1" applyAlignment="1">
      <alignment horizontal="center" vertical="center" wrapText="1"/>
    </xf>
    <xf numFmtId="0" fontId="15" fillId="2" borderId="31" xfId="1" applyNumberFormat="1" applyFont="1" applyFill="1" applyBorder="1" applyAlignment="1">
      <alignment horizontal="center" vertical="top" wrapText="1"/>
    </xf>
    <xf numFmtId="0" fontId="15" fillId="2" borderId="32" xfId="1" applyNumberFormat="1" applyFont="1" applyFill="1" applyBorder="1" applyAlignment="1">
      <alignment horizontal="center" vertical="top" wrapText="1"/>
    </xf>
    <xf numFmtId="0" fontId="16" fillId="2" borderId="6" xfId="1" applyNumberFormat="1" applyFont="1" applyFill="1" applyBorder="1" applyAlignment="1">
      <alignment horizontal="center" vertical="top" wrapText="1"/>
    </xf>
    <xf numFmtId="0" fontId="16" fillId="2" borderId="8" xfId="1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5" fillId="2" borderId="12" xfId="1" applyNumberFormat="1" applyFont="1" applyFill="1" applyBorder="1" applyAlignment="1">
      <alignment horizontal="center" vertical="center" wrapText="1"/>
    </xf>
    <xf numFmtId="0" fontId="15" fillId="2" borderId="18" xfId="1" applyNumberFormat="1" applyFont="1" applyFill="1" applyBorder="1" applyAlignment="1">
      <alignment horizontal="center" vertical="center" wrapText="1"/>
    </xf>
    <xf numFmtId="2" fontId="16" fillId="2" borderId="6" xfId="1" applyNumberFormat="1" applyFont="1" applyFill="1" applyBorder="1" applyAlignment="1">
      <alignment horizontal="center" vertical="center"/>
    </xf>
    <xf numFmtId="2" fontId="16" fillId="2" borderId="8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5" fillId="2" borderId="13" xfId="1" applyNumberFormat="1" applyFont="1" applyFill="1" applyBorder="1" applyAlignment="1">
      <alignment vertical="top" wrapText="1" indent="2"/>
    </xf>
    <xf numFmtId="0" fontId="16" fillId="2" borderId="14" xfId="1" applyNumberFormat="1" applyFont="1" applyFill="1" applyBorder="1" applyAlignment="1">
      <alignment horizontal="center" vertical="center"/>
    </xf>
    <xf numFmtId="0" fontId="15" fillId="2" borderId="14" xfId="1" applyNumberFormat="1" applyFont="1" applyFill="1" applyBorder="1" applyAlignment="1">
      <alignment horizontal="center" vertical="top"/>
    </xf>
    <xf numFmtId="2" fontId="16" fillId="2" borderId="14" xfId="1" applyNumberFormat="1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right"/>
    </xf>
    <xf numFmtId="0" fontId="15" fillId="2" borderId="12" xfId="1" applyNumberFormat="1" applyFont="1" applyFill="1" applyBorder="1" applyAlignment="1">
      <alignment vertical="center" wrapText="1"/>
    </xf>
    <xf numFmtId="0" fontId="15" fillId="2" borderId="18" xfId="1" applyNumberFormat="1" applyFont="1" applyFill="1" applyBorder="1" applyAlignment="1">
      <alignment vertical="center" wrapText="1"/>
    </xf>
    <xf numFmtId="2" fontId="15" fillId="2" borderId="6" xfId="1" applyNumberFormat="1" applyFont="1" applyFill="1" applyBorder="1" applyAlignment="1">
      <alignment horizontal="center" vertical="center" wrapText="1"/>
    </xf>
    <xf numFmtId="2" fontId="15" fillId="2" borderId="8" xfId="1" applyNumberFormat="1" applyFont="1" applyFill="1" applyBorder="1" applyAlignment="1">
      <alignment horizontal="center" vertical="center" wrapText="1"/>
    </xf>
    <xf numFmtId="4" fontId="15" fillId="2" borderId="6" xfId="1" applyNumberFormat="1" applyFont="1" applyFill="1" applyBorder="1" applyAlignment="1">
      <alignment horizontal="center" vertical="top" wrapText="1"/>
    </xf>
    <xf numFmtId="4" fontId="15" fillId="2" borderId="8" xfId="1" applyNumberFormat="1" applyFont="1" applyFill="1" applyBorder="1" applyAlignment="1">
      <alignment horizontal="center" vertical="top" wrapText="1"/>
    </xf>
    <xf numFmtId="4" fontId="16" fillId="2" borderId="6" xfId="1" applyNumberFormat="1" applyFont="1" applyFill="1" applyBorder="1" applyAlignment="1">
      <alignment horizontal="center" vertical="center"/>
    </xf>
    <xf numFmtId="4" fontId="16" fillId="2" borderId="8" xfId="1" applyNumberFormat="1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7" fillId="0" borderId="38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5" fillId="0" borderId="38" xfId="1" applyNumberFormat="1" applyFont="1" applyBorder="1" applyAlignment="1">
      <alignment horizontal="left" wrapText="1"/>
    </xf>
    <xf numFmtId="0" fontId="15" fillId="0" borderId="29" xfId="1" applyNumberFormat="1" applyFont="1" applyBorder="1" applyAlignment="1">
      <alignment horizontal="left" wrapText="1"/>
    </xf>
    <xf numFmtId="0" fontId="15" fillId="0" borderId="14" xfId="1" applyNumberFormat="1" applyFont="1" applyBorder="1" applyAlignment="1">
      <alignment horizontal="left" wrapText="1"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6" fillId="0" borderId="42" xfId="1" applyNumberFormat="1" applyFont="1" applyBorder="1" applyAlignment="1">
      <alignment horizontal="center" wrapText="1"/>
    </xf>
    <xf numFmtId="0" fontId="16" fillId="0" borderId="43" xfId="1" applyNumberFormat="1" applyFont="1" applyBorder="1" applyAlignment="1">
      <alignment horizontal="center" wrapText="1"/>
    </xf>
    <xf numFmtId="0" fontId="15" fillId="0" borderId="38" xfId="1" applyNumberFormat="1" applyFont="1" applyBorder="1" applyAlignment="1">
      <alignment horizontal="left" vertical="top" wrapText="1"/>
    </xf>
    <xf numFmtId="0" fontId="15" fillId="0" borderId="29" xfId="1" applyNumberFormat="1" applyFont="1" applyBorder="1" applyAlignment="1">
      <alignment horizontal="left" vertical="top" wrapText="1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5" fillId="2" borderId="12" xfId="1" applyNumberFormat="1" applyFont="1" applyFill="1" applyBorder="1" applyAlignment="1">
      <alignment horizontal="center" vertical="top"/>
    </xf>
    <xf numFmtId="0" fontId="15" fillId="2" borderId="18" xfId="1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NumberFormat="1" applyFont="1" applyBorder="1" applyAlignment="1">
      <alignment horizontal="left" vertical="top"/>
    </xf>
    <xf numFmtId="0" fontId="15" fillId="0" borderId="14" xfId="0" applyNumberFormat="1" applyFont="1" applyBorder="1" applyAlignment="1">
      <alignment horizontal="left" vertical="top"/>
    </xf>
    <xf numFmtId="0" fontId="16" fillId="0" borderId="34" xfId="1" applyNumberFormat="1" applyFont="1" applyBorder="1" applyAlignment="1">
      <alignment horizontal="left" wrapText="1"/>
    </xf>
    <xf numFmtId="0" fontId="16" fillId="0" borderId="35" xfId="1" applyNumberFormat="1" applyFont="1" applyBorder="1" applyAlignment="1">
      <alignment horizontal="left" wrapText="1"/>
    </xf>
    <xf numFmtId="0" fontId="15" fillId="0" borderId="38" xfId="1" applyNumberFormat="1" applyFont="1" applyBorder="1" applyAlignment="1">
      <alignment horizontal="left" vertical="top"/>
    </xf>
    <xf numFmtId="0" fontId="15" fillId="0" borderId="29" xfId="1" applyNumberFormat="1" applyFont="1" applyBorder="1" applyAlignment="1">
      <alignment horizontal="left" vertical="top"/>
    </xf>
    <xf numFmtId="0" fontId="15" fillId="0" borderId="44" xfId="1" applyNumberFormat="1" applyFont="1" applyBorder="1" applyAlignment="1">
      <alignment horizontal="left" vertical="top"/>
    </xf>
    <xf numFmtId="0" fontId="15" fillId="0" borderId="24" xfId="1" applyNumberFormat="1" applyFont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7" fillId="0" borderId="1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15" fillId="0" borderId="23" xfId="1" applyNumberFormat="1" applyFont="1" applyBorder="1" applyAlignment="1">
      <alignment horizontal="left" vertical="center" wrapText="1"/>
    </xf>
    <xf numFmtId="4" fontId="15" fillId="0" borderId="33" xfId="1" applyNumberFormat="1" applyFont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right"/>
    </xf>
    <xf numFmtId="0" fontId="17" fillId="0" borderId="15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4" fontId="0" fillId="0" borderId="0" xfId="0" applyNumberFormat="1" applyFill="1" applyBorder="1" applyAlignment="1">
      <alignment horizontal="center" vertical="center"/>
    </xf>
    <xf numFmtId="4" fontId="17" fillId="2" borderId="23" xfId="0" applyNumberFormat="1" applyFont="1" applyFill="1" applyBorder="1" applyAlignment="1">
      <alignment horizontal="right"/>
    </xf>
    <xf numFmtId="4" fontId="17" fillId="2" borderId="3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/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2" fontId="0" fillId="0" borderId="4" xfId="0" applyNumberFormat="1" applyFont="1" applyBorder="1" applyAlignment="1">
      <alignment vertical="center"/>
    </xf>
    <xf numFmtId="0" fontId="0" fillId="0" borderId="3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0" fillId="0" borderId="15" xfId="0" applyNumberFormat="1" applyFont="1" applyBorder="1" applyAlignment="1">
      <alignment vertical="center"/>
    </xf>
    <xf numFmtId="2" fontId="1" fillId="0" borderId="45" xfId="0" applyNumberFormat="1" applyFont="1" applyBorder="1"/>
  </cellXfs>
  <cellStyles count="3">
    <cellStyle name="Обычный" xfId="0" builtinId="0"/>
    <cellStyle name="Обычный_10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topLeftCell="A75" zoomScale="130" zoomScaleNormal="130" workbookViewId="0">
      <selection activeCell="F81" sqref="F81"/>
    </sheetView>
  </sheetViews>
  <sheetFormatPr defaultRowHeight="15"/>
  <cols>
    <col min="1" max="1" width="3.85546875" customWidth="1"/>
    <col min="2" max="2" width="29" customWidth="1"/>
    <col min="3" max="3" width="16.28515625" customWidth="1"/>
    <col min="4" max="4" width="13.42578125" customWidth="1"/>
    <col min="5" max="5" width="12.5703125" customWidth="1"/>
    <col min="6" max="6" width="40.28515625" customWidth="1"/>
    <col min="7" max="7" width="24.5703125" customWidth="1"/>
    <col min="8" max="8" width="13" customWidth="1"/>
  </cols>
  <sheetData>
    <row r="1" spans="1:8">
      <c r="F1" s="4" t="s">
        <v>133</v>
      </c>
    </row>
    <row r="2" spans="1:8" s="1" customFormat="1">
      <c r="F2" s="4"/>
    </row>
    <row r="3" spans="1:8" ht="18.75">
      <c r="A3" s="426" t="s">
        <v>132</v>
      </c>
      <c r="B3" s="426"/>
      <c r="C3" s="426"/>
      <c r="D3" s="426"/>
      <c r="E3" s="426"/>
      <c r="F3" s="426"/>
    </row>
    <row r="4" spans="1:8" ht="10.5" customHeight="1" thickBot="1">
      <c r="A4" s="2"/>
      <c r="B4" s="2"/>
      <c r="C4" s="2"/>
      <c r="D4" s="2"/>
      <c r="E4" s="2"/>
      <c r="F4" s="2"/>
    </row>
    <row r="5" spans="1:8">
      <c r="A5" s="427" t="s">
        <v>0</v>
      </c>
      <c r="B5" s="429" t="s">
        <v>1</v>
      </c>
      <c r="C5" s="431" t="s">
        <v>256</v>
      </c>
      <c r="D5" s="422" t="s">
        <v>2</v>
      </c>
      <c r="E5" s="422" t="s">
        <v>3</v>
      </c>
      <c r="F5" s="424" t="s">
        <v>4</v>
      </c>
    </row>
    <row r="6" spans="1:8" ht="30.75" customHeight="1" thickBot="1">
      <c r="A6" s="428"/>
      <c r="B6" s="430"/>
      <c r="C6" s="432"/>
      <c r="D6" s="423"/>
      <c r="E6" s="423"/>
      <c r="F6" s="425"/>
    </row>
    <row r="7" spans="1:8">
      <c r="A7" s="135">
        <v>1</v>
      </c>
      <c r="B7" s="136" t="s">
        <v>5</v>
      </c>
      <c r="C7" s="137">
        <v>30507</v>
      </c>
      <c r="D7" s="138" t="s">
        <v>6</v>
      </c>
      <c r="E7" s="139" t="s">
        <v>7</v>
      </c>
      <c r="F7" s="140" t="s">
        <v>8</v>
      </c>
    </row>
    <row r="8" spans="1:8" ht="60" customHeight="1">
      <c r="A8" s="5">
        <v>2</v>
      </c>
      <c r="B8" s="6" t="s">
        <v>9</v>
      </c>
      <c r="C8" s="34" t="s">
        <v>248</v>
      </c>
      <c r="D8" s="33" t="s">
        <v>249</v>
      </c>
      <c r="E8" s="118" t="s">
        <v>7</v>
      </c>
      <c r="F8" s="120" t="s">
        <v>10</v>
      </c>
      <c r="G8" s="124"/>
    </row>
    <row r="9" spans="1:8" ht="31.5" customHeight="1">
      <c r="A9" s="5">
        <v>3</v>
      </c>
      <c r="B9" s="6" t="s">
        <v>11</v>
      </c>
      <c r="C9" s="115">
        <v>30049</v>
      </c>
      <c r="D9" s="117" t="s">
        <v>12</v>
      </c>
      <c r="E9" s="118" t="s">
        <v>7</v>
      </c>
      <c r="F9" s="119" t="s">
        <v>13</v>
      </c>
      <c r="G9" s="124"/>
    </row>
    <row r="10" spans="1:8" s="1" customFormat="1" ht="90.75" customHeight="1">
      <c r="A10" s="5">
        <v>4</v>
      </c>
      <c r="B10" s="111" t="s">
        <v>244</v>
      </c>
      <c r="C10" s="121" t="s">
        <v>245</v>
      </c>
      <c r="D10" s="122" t="s">
        <v>246</v>
      </c>
      <c r="E10" s="384" t="s">
        <v>345</v>
      </c>
      <c r="F10" s="123" t="s">
        <v>338</v>
      </c>
      <c r="G10" s="125"/>
    </row>
    <row r="11" spans="1:8" ht="30.75" thickBot="1">
      <c r="A11" s="141">
        <v>5</v>
      </c>
      <c r="B11" s="142" t="s">
        <v>14</v>
      </c>
      <c r="C11" s="143" t="s">
        <v>15</v>
      </c>
      <c r="D11" s="144" t="s">
        <v>16</v>
      </c>
      <c r="E11" s="145" t="s">
        <v>337</v>
      </c>
      <c r="F11" s="146" t="s">
        <v>17</v>
      </c>
    </row>
    <row r="12" spans="1:8" s="1" customFormat="1" ht="76.5" customHeight="1">
      <c r="A12" s="27">
        <v>6</v>
      </c>
      <c r="B12" s="130" t="s">
        <v>56</v>
      </c>
      <c r="C12" s="131" t="s">
        <v>57</v>
      </c>
      <c r="D12" s="132" t="s">
        <v>58</v>
      </c>
      <c r="E12" s="133" t="s">
        <v>290</v>
      </c>
      <c r="F12" s="134" t="s">
        <v>59</v>
      </c>
      <c r="G12" s="113"/>
    </row>
    <row r="13" spans="1:8" ht="52.5" customHeight="1">
      <c r="A13" s="12">
        <v>7</v>
      </c>
      <c r="B13" s="88" t="s">
        <v>18</v>
      </c>
      <c r="C13" s="126" t="s">
        <v>262</v>
      </c>
      <c r="D13" s="92" t="s">
        <v>263</v>
      </c>
      <c r="E13" s="107" t="s">
        <v>754</v>
      </c>
      <c r="F13" s="10" t="s">
        <v>19</v>
      </c>
      <c r="G13" s="1"/>
      <c r="H13" s="1"/>
    </row>
    <row r="14" spans="1:8" ht="61.5" customHeight="1">
      <c r="A14" s="12">
        <v>8</v>
      </c>
      <c r="B14" s="89" t="s">
        <v>185</v>
      </c>
      <c r="C14" s="7">
        <v>123316</v>
      </c>
      <c r="D14" s="15" t="s">
        <v>20</v>
      </c>
      <c r="E14" s="107" t="s">
        <v>753</v>
      </c>
      <c r="F14" s="112" t="s">
        <v>247</v>
      </c>
      <c r="G14" s="124"/>
    </row>
    <row r="15" spans="1:8" ht="26.25">
      <c r="A15" s="12">
        <v>9</v>
      </c>
      <c r="B15" s="86" t="s">
        <v>21</v>
      </c>
      <c r="C15" s="7" t="s">
        <v>22</v>
      </c>
      <c r="D15" s="8" t="s">
        <v>23</v>
      </c>
      <c r="E15" s="93" t="s">
        <v>334</v>
      </c>
      <c r="F15" s="10" t="s">
        <v>24</v>
      </c>
      <c r="G15" s="124"/>
    </row>
    <row r="16" spans="1:8" ht="48.75" customHeight="1">
      <c r="A16" s="12">
        <v>10</v>
      </c>
      <c r="B16" s="86" t="s">
        <v>25</v>
      </c>
      <c r="C16" s="7" t="s">
        <v>26</v>
      </c>
      <c r="D16" s="8" t="s">
        <v>27</v>
      </c>
      <c r="E16" s="32" t="s">
        <v>336</v>
      </c>
      <c r="F16" s="31" t="s">
        <v>335</v>
      </c>
      <c r="G16" s="189"/>
    </row>
    <row r="17" spans="1:7" ht="56.25">
      <c r="A17" s="12">
        <v>11</v>
      </c>
      <c r="B17" s="85" t="s">
        <v>28</v>
      </c>
      <c r="C17" s="17" t="s">
        <v>29</v>
      </c>
      <c r="D17" s="15" t="s">
        <v>30</v>
      </c>
      <c r="E17" s="109" t="s">
        <v>291</v>
      </c>
      <c r="F17" s="10" t="s">
        <v>31</v>
      </c>
      <c r="G17" s="113"/>
    </row>
    <row r="18" spans="1:7" ht="60.75" customHeight="1">
      <c r="A18" s="12">
        <v>12</v>
      </c>
      <c r="B18" s="85" t="s">
        <v>28</v>
      </c>
      <c r="C18" s="18" t="s">
        <v>32</v>
      </c>
      <c r="D18" s="33" t="s">
        <v>136</v>
      </c>
      <c r="E18" s="195">
        <v>108635.54</v>
      </c>
      <c r="F18" s="31" t="s">
        <v>289</v>
      </c>
      <c r="G18" s="124"/>
    </row>
    <row r="19" spans="1:7" s="1" customFormat="1" ht="60.75" customHeight="1">
      <c r="A19" s="12">
        <v>13</v>
      </c>
      <c r="B19" s="85" t="s">
        <v>28</v>
      </c>
      <c r="C19" s="34" t="s">
        <v>137</v>
      </c>
      <c r="D19" s="33" t="s">
        <v>138</v>
      </c>
      <c r="E19" s="195">
        <v>116010</v>
      </c>
      <c r="F19" s="31" t="s">
        <v>186</v>
      </c>
      <c r="G19" s="124"/>
    </row>
    <row r="20" spans="1:7" s="1" customFormat="1" ht="28.5" customHeight="1">
      <c r="A20" s="12">
        <v>14</v>
      </c>
      <c r="B20" s="85" t="s">
        <v>28</v>
      </c>
      <c r="C20" s="34" t="s">
        <v>331</v>
      </c>
      <c r="D20" s="33" t="s">
        <v>332</v>
      </c>
      <c r="E20" s="195">
        <v>51930</v>
      </c>
      <c r="F20" s="382" t="s">
        <v>333</v>
      </c>
      <c r="G20" s="124"/>
    </row>
    <row r="21" spans="1:7" ht="107.25" customHeight="1">
      <c r="A21" s="12">
        <v>15</v>
      </c>
      <c r="B21" s="111" t="s">
        <v>274</v>
      </c>
      <c r="C21" s="121" t="s">
        <v>275</v>
      </c>
      <c r="D21" s="33" t="s">
        <v>276</v>
      </c>
      <c r="E21" s="34" t="s">
        <v>292</v>
      </c>
      <c r="F21" s="112" t="s">
        <v>317</v>
      </c>
    </row>
    <row r="22" spans="1:7" ht="30">
      <c r="A22" s="12">
        <v>16</v>
      </c>
      <c r="B22" s="6" t="s">
        <v>33</v>
      </c>
      <c r="C22" s="7" t="s">
        <v>34</v>
      </c>
      <c r="D22" s="15" t="s">
        <v>35</v>
      </c>
      <c r="E22" s="91" t="s">
        <v>293</v>
      </c>
      <c r="F22" s="112" t="s">
        <v>279</v>
      </c>
      <c r="G22" s="1"/>
    </row>
    <row r="23" spans="1:7" ht="62.25" customHeight="1">
      <c r="A23" s="12">
        <v>17</v>
      </c>
      <c r="B23" s="88" t="s">
        <v>36</v>
      </c>
      <c r="C23" s="17" t="s">
        <v>37</v>
      </c>
      <c r="D23" s="92" t="s">
        <v>344</v>
      </c>
      <c r="E23" s="91" t="s">
        <v>339</v>
      </c>
      <c r="F23" s="14" t="s">
        <v>38</v>
      </c>
      <c r="G23" s="197"/>
    </row>
    <row r="24" spans="1:7" ht="63" customHeight="1">
      <c r="A24" s="12">
        <v>18</v>
      </c>
      <c r="B24" s="90" t="s">
        <v>39</v>
      </c>
      <c r="C24" s="19" t="s">
        <v>40</v>
      </c>
      <c r="D24" s="20" t="s">
        <v>41</v>
      </c>
      <c r="E24" s="147" t="s">
        <v>296</v>
      </c>
      <c r="F24" s="14" t="s">
        <v>42</v>
      </c>
      <c r="G24" s="1"/>
    </row>
    <row r="25" spans="1:7" ht="87.75" customHeight="1">
      <c r="A25" s="5">
        <v>19</v>
      </c>
      <c r="B25" s="87" t="s">
        <v>43</v>
      </c>
      <c r="C25" s="17" t="s">
        <v>44</v>
      </c>
      <c r="D25" s="15" t="s">
        <v>45</v>
      </c>
      <c r="E25" s="93" t="s">
        <v>294</v>
      </c>
      <c r="F25" s="11" t="s">
        <v>46</v>
      </c>
    </row>
    <row r="26" spans="1:7" ht="61.5" customHeight="1">
      <c r="A26" s="12">
        <v>20</v>
      </c>
      <c r="B26" s="87" t="s">
        <v>43</v>
      </c>
      <c r="C26" s="17" t="s">
        <v>47</v>
      </c>
      <c r="D26" s="15" t="s">
        <v>48</v>
      </c>
      <c r="E26" s="93" t="s">
        <v>295</v>
      </c>
      <c r="F26" s="14" t="s">
        <v>49</v>
      </c>
    </row>
    <row r="27" spans="1:7" ht="28.5" customHeight="1">
      <c r="A27" s="12">
        <v>21</v>
      </c>
      <c r="B27" s="87" t="s">
        <v>50</v>
      </c>
      <c r="C27" s="91" t="s">
        <v>265</v>
      </c>
      <c r="D27" s="15" t="s">
        <v>51</v>
      </c>
      <c r="E27" s="93" t="s">
        <v>297</v>
      </c>
      <c r="F27" s="31" t="s">
        <v>264</v>
      </c>
    </row>
    <row r="28" spans="1:7" s="1" customFormat="1" ht="45">
      <c r="A28" s="12">
        <v>22</v>
      </c>
      <c r="B28" s="89" t="s">
        <v>187</v>
      </c>
      <c r="C28" s="91" t="s">
        <v>188</v>
      </c>
      <c r="D28" s="92" t="s">
        <v>189</v>
      </c>
      <c r="E28" s="93" t="s">
        <v>298</v>
      </c>
      <c r="F28" s="31" t="s">
        <v>190</v>
      </c>
      <c r="G28" s="188" t="s">
        <v>273</v>
      </c>
    </row>
    <row r="29" spans="1:7" ht="30.75" customHeight="1">
      <c r="A29" s="12">
        <v>23</v>
      </c>
      <c r="B29" s="86" t="s">
        <v>52</v>
      </c>
      <c r="C29" s="8" t="s">
        <v>53</v>
      </c>
      <c r="D29" s="8" t="s">
        <v>54</v>
      </c>
      <c r="E29" s="93" t="s">
        <v>299</v>
      </c>
      <c r="F29" s="14" t="s">
        <v>55</v>
      </c>
    </row>
    <row r="30" spans="1:7" ht="87.75" customHeight="1">
      <c r="A30" s="12">
        <v>24</v>
      </c>
      <c r="B30" s="86" t="s">
        <v>56</v>
      </c>
      <c r="C30" s="99" t="s">
        <v>250</v>
      </c>
      <c r="D30" s="92" t="s">
        <v>251</v>
      </c>
      <c r="E30" s="93" t="s">
        <v>300</v>
      </c>
      <c r="F30" s="14" t="s">
        <v>59</v>
      </c>
      <c r="G30" s="1"/>
    </row>
    <row r="31" spans="1:7" ht="48" customHeight="1">
      <c r="A31" s="12">
        <v>25</v>
      </c>
      <c r="B31" s="88" t="s">
        <v>60</v>
      </c>
      <c r="C31" s="17" t="s">
        <v>61</v>
      </c>
      <c r="D31" s="15" t="s">
        <v>62</v>
      </c>
      <c r="E31" s="93" t="s">
        <v>301</v>
      </c>
      <c r="F31" s="14" t="s">
        <v>63</v>
      </c>
      <c r="G31" s="124"/>
    </row>
    <row r="32" spans="1:7" ht="56.25">
      <c r="A32" s="12">
        <v>26</v>
      </c>
      <c r="B32" s="88" t="s">
        <v>64</v>
      </c>
      <c r="C32" s="17" t="s">
        <v>65</v>
      </c>
      <c r="D32" s="15" t="s">
        <v>66</v>
      </c>
      <c r="E32" s="151" t="s">
        <v>302</v>
      </c>
      <c r="F32" s="14" t="s">
        <v>67</v>
      </c>
      <c r="G32" s="125" t="s">
        <v>257</v>
      </c>
    </row>
    <row r="33" spans="1:7" ht="78" customHeight="1">
      <c r="A33" s="12">
        <v>27</v>
      </c>
      <c r="B33" s="87" t="s">
        <v>68</v>
      </c>
      <c r="C33" s="8" t="s">
        <v>69</v>
      </c>
      <c r="D33" s="8" t="s">
        <v>70</v>
      </c>
      <c r="E33" s="93" t="s">
        <v>329</v>
      </c>
      <c r="F33" s="108" t="s">
        <v>71</v>
      </c>
      <c r="G33" s="125"/>
    </row>
    <row r="34" spans="1:7">
      <c r="A34" s="12">
        <v>28</v>
      </c>
      <c r="B34" s="16" t="s">
        <v>72</v>
      </c>
      <c r="C34" s="7" t="s">
        <v>73</v>
      </c>
      <c r="D34" s="110" t="s">
        <v>252</v>
      </c>
      <c r="E34" s="9"/>
      <c r="F34" s="21" t="s">
        <v>74</v>
      </c>
      <c r="G34" s="124"/>
    </row>
    <row r="35" spans="1:7" ht="33" customHeight="1">
      <c r="A35" s="12">
        <v>29</v>
      </c>
      <c r="B35" s="114" t="s">
        <v>253</v>
      </c>
      <c r="C35" s="17" t="s">
        <v>75</v>
      </c>
      <c r="D35" s="15" t="s">
        <v>76</v>
      </c>
      <c r="E35" s="9"/>
      <c r="F35" s="14" t="s">
        <v>77</v>
      </c>
      <c r="G35" s="124"/>
    </row>
    <row r="36" spans="1:7" ht="30">
      <c r="A36" s="420">
        <v>30</v>
      </c>
      <c r="B36" s="88" t="s">
        <v>78</v>
      </c>
      <c r="C36" s="7" t="s">
        <v>79</v>
      </c>
      <c r="D36" s="8" t="s">
        <v>80</v>
      </c>
      <c r="E36" s="9"/>
      <c r="F36" s="10" t="s">
        <v>81</v>
      </c>
      <c r="G36" s="124"/>
    </row>
    <row r="37" spans="1:7" ht="30">
      <c r="A37" s="12">
        <v>31</v>
      </c>
      <c r="B37" s="86" t="s">
        <v>82</v>
      </c>
      <c r="C37" s="91" t="s">
        <v>266</v>
      </c>
      <c r="D37" s="92" t="s">
        <v>267</v>
      </c>
      <c r="E37" s="9"/>
      <c r="F37" s="11" t="s">
        <v>83</v>
      </c>
      <c r="G37" s="124"/>
    </row>
    <row r="38" spans="1:7">
      <c r="A38" s="12">
        <v>52</v>
      </c>
      <c r="B38" s="86" t="s">
        <v>82</v>
      </c>
      <c r="C38" s="7" t="s">
        <v>84</v>
      </c>
      <c r="D38" s="15" t="s">
        <v>85</v>
      </c>
      <c r="E38" s="9"/>
      <c r="F38" s="10" t="s">
        <v>86</v>
      </c>
      <c r="G38" s="124"/>
    </row>
    <row r="39" spans="1:7" ht="60">
      <c r="A39" s="12">
        <v>33</v>
      </c>
      <c r="B39" s="87" t="s">
        <v>87</v>
      </c>
      <c r="C39" s="115" t="s">
        <v>88</v>
      </c>
      <c r="D39" s="116" t="s">
        <v>89</v>
      </c>
      <c r="E39" s="9"/>
      <c r="F39" s="11" t="s">
        <v>90</v>
      </c>
      <c r="G39" s="124"/>
    </row>
    <row r="40" spans="1:7" ht="120" customHeight="1">
      <c r="A40" s="12">
        <v>34</v>
      </c>
      <c r="B40" s="111" t="s">
        <v>268</v>
      </c>
      <c r="C40" s="15" t="s">
        <v>98</v>
      </c>
      <c r="D40" s="15" t="s">
        <v>99</v>
      </c>
      <c r="E40" s="13"/>
      <c r="F40" s="10" t="s">
        <v>100</v>
      </c>
      <c r="G40" s="124"/>
    </row>
    <row r="41" spans="1:7" ht="90">
      <c r="A41" s="12">
        <v>35</v>
      </c>
      <c r="B41" s="87" t="s">
        <v>101</v>
      </c>
      <c r="C41" s="17" t="s">
        <v>102</v>
      </c>
      <c r="D41" s="17" t="s">
        <v>103</v>
      </c>
      <c r="E41" s="6"/>
      <c r="F41" s="11" t="s">
        <v>104</v>
      </c>
      <c r="G41" s="124"/>
    </row>
    <row r="42" spans="1:7" ht="95.25" customHeight="1">
      <c r="A42" s="420">
        <v>36</v>
      </c>
      <c r="B42" s="87" t="s">
        <v>101</v>
      </c>
      <c r="C42" s="17" t="s">
        <v>105</v>
      </c>
      <c r="D42" s="17" t="s">
        <v>106</v>
      </c>
      <c r="E42" s="6"/>
      <c r="F42" s="11" t="s">
        <v>107</v>
      </c>
      <c r="G42" s="124"/>
    </row>
    <row r="43" spans="1:7" ht="43.5" customHeight="1">
      <c r="A43" s="12">
        <v>37</v>
      </c>
      <c r="B43" s="87" t="s">
        <v>108</v>
      </c>
      <c r="C43" s="17" t="s">
        <v>109</v>
      </c>
      <c r="D43" s="17" t="s">
        <v>134</v>
      </c>
      <c r="E43" s="6"/>
      <c r="F43" s="11" t="s">
        <v>110</v>
      </c>
      <c r="G43" s="124"/>
    </row>
    <row r="44" spans="1:7" ht="93.75" customHeight="1">
      <c r="A44" s="12">
        <v>38</v>
      </c>
      <c r="B44" s="85" t="s">
        <v>111</v>
      </c>
      <c r="C44" s="91" t="s">
        <v>258</v>
      </c>
      <c r="D44" s="91" t="s">
        <v>259</v>
      </c>
      <c r="E44" s="32" t="s">
        <v>303</v>
      </c>
      <c r="F44" s="11" t="s">
        <v>112</v>
      </c>
      <c r="G44" s="124"/>
    </row>
    <row r="45" spans="1:7" ht="75">
      <c r="A45" s="12">
        <v>39</v>
      </c>
      <c r="B45" s="85" t="s">
        <v>113</v>
      </c>
      <c r="C45" s="91" t="s">
        <v>261</v>
      </c>
      <c r="D45" s="91" t="s">
        <v>260</v>
      </c>
      <c r="E45" s="32" t="s">
        <v>304</v>
      </c>
      <c r="F45" s="127" t="s">
        <v>114</v>
      </c>
      <c r="G45" s="124"/>
    </row>
    <row r="46" spans="1:7" s="1" customFormat="1" ht="57">
      <c r="A46" s="12">
        <v>40</v>
      </c>
      <c r="B46" s="87" t="s">
        <v>91</v>
      </c>
      <c r="C46" s="7" t="s">
        <v>92</v>
      </c>
      <c r="D46" s="7" t="s">
        <v>93</v>
      </c>
      <c r="E46" s="93" t="s">
        <v>340</v>
      </c>
      <c r="F46" s="11" t="s">
        <v>94</v>
      </c>
      <c r="G46" s="124"/>
    </row>
    <row r="47" spans="1:7" s="1" customFormat="1" ht="75">
      <c r="A47" s="12">
        <v>41</v>
      </c>
      <c r="B47" s="86" t="s">
        <v>95</v>
      </c>
      <c r="C47" s="17" t="s">
        <v>96</v>
      </c>
      <c r="D47" s="17" t="s">
        <v>97</v>
      </c>
      <c r="E47" s="93" t="s">
        <v>325</v>
      </c>
      <c r="F47" s="31" t="s">
        <v>135</v>
      </c>
      <c r="G47" s="124"/>
    </row>
    <row r="48" spans="1:7" s="1" customFormat="1" ht="60">
      <c r="A48" s="12">
        <v>42</v>
      </c>
      <c r="B48" s="101" t="s">
        <v>326</v>
      </c>
      <c r="C48" s="91" t="s">
        <v>347</v>
      </c>
      <c r="D48" s="17"/>
      <c r="E48" s="93" t="s">
        <v>341</v>
      </c>
      <c r="F48" s="31" t="s">
        <v>346</v>
      </c>
      <c r="G48" s="124"/>
    </row>
    <row r="49" spans="1:7" ht="26.25">
      <c r="A49" s="12">
        <v>43</v>
      </c>
      <c r="B49" s="86" t="s">
        <v>115</v>
      </c>
      <c r="C49" s="22" t="s">
        <v>116</v>
      </c>
      <c r="D49" s="19" t="s">
        <v>117</v>
      </c>
      <c r="E49" s="20" t="s">
        <v>118</v>
      </c>
      <c r="F49" s="23" t="s">
        <v>119</v>
      </c>
      <c r="G49" s="124" t="s">
        <v>285</v>
      </c>
    </row>
    <row r="50" spans="1:7" ht="47.25" customHeight="1">
      <c r="A50" s="12">
        <v>44</v>
      </c>
      <c r="B50" s="88" t="s">
        <v>120</v>
      </c>
      <c r="C50" s="24" t="s">
        <v>121</v>
      </c>
      <c r="D50" s="22" t="s">
        <v>122</v>
      </c>
      <c r="E50" s="20" t="s">
        <v>123</v>
      </c>
      <c r="F50" s="25" t="s">
        <v>124</v>
      </c>
      <c r="G50" s="124" t="s">
        <v>285</v>
      </c>
    </row>
    <row r="51" spans="1:7" ht="30">
      <c r="A51" s="12">
        <v>45</v>
      </c>
      <c r="B51" s="88" t="s">
        <v>125</v>
      </c>
      <c r="C51" s="24" t="s">
        <v>126</v>
      </c>
      <c r="D51" s="102" t="s">
        <v>306</v>
      </c>
      <c r="E51" s="129" t="s">
        <v>305</v>
      </c>
      <c r="F51" s="25" t="s">
        <v>127</v>
      </c>
      <c r="G51" s="125"/>
    </row>
    <row r="52" spans="1:7" s="1" customFormat="1" ht="74.25" customHeight="1">
      <c r="A52" s="27">
        <v>46</v>
      </c>
      <c r="B52" s="95" t="s">
        <v>191</v>
      </c>
      <c r="C52" s="94">
        <v>3112</v>
      </c>
      <c r="D52" s="96" t="s">
        <v>192</v>
      </c>
      <c r="E52" s="97" t="s">
        <v>307</v>
      </c>
      <c r="F52" s="98" t="s">
        <v>327</v>
      </c>
      <c r="G52" s="124"/>
    </row>
    <row r="53" spans="1:7" s="1" customFormat="1" ht="46.5" customHeight="1">
      <c r="A53" s="27">
        <v>47</v>
      </c>
      <c r="B53" s="95" t="s">
        <v>308</v>
      </c>
      <c r="C53" s="385" t="s">
        <v>755</v>
      </c>
      <c r="D53" s="383" t="s">
        <v>757</v>
      </c>
      <c r="E53" s="97" t="s">
        <v>310</v>
      </c>
      <c r="F53" s="98" t="s">
        <v>309</v>
      </c>
      <c r="G53" s="124"/>
    </row>
    <row r="54" spans="1:7" s="1" customFormat="1" ht="30.75" thickBot="1">
      <c r="A54" s="169">
        <v>48</v>
      </c>
      <c r="B54" s="170" t="s">
        <v>280</v>
      </c>
      <c r="C54" s="386" t="s">
        <v>756</v>
      </c>
      <c r="D54" s="171">
        <v>44907</v>
      </c>
      <c r="E54" s="172" t="s">
        <v>311</v>
      </c>
      <c r="F54" s="173" t="s">
        <v>281</v>
      </c>
      <c r="G54" s="124"/>
    </row>
    <row r="55" spans="1:7" s="1" customFormat="1" ht="60" customHeight="1">
      <c r="A55" s="174">
        <v>49</v>
      </c>
      <c r="B55" s="175" t="s">
        <v>282</v>
      </c>
      <c r="C55" s="176" t="s">
        <v>283</v>
      </c>
      <c r="D55" s="177" t="s">
        <v>284</v>
      </c>
      <c r="E55" s="178" t="s">
        <v>312</v>
      </c>
      <c r="F55" s="179" t="s">
        <v>342</v>
      </c>
      <c r="G55" s="124"/>
    </row>
    <row r="56" spans="1:7" s="1" customFormat="1" ht="45">
      <c r="A56" s="12">
        <v>50</v>
      </c>
      <c r="B56" s="86" t="s">
        <v>56</v>
      </c>
      <c r="C56" s="99" t="s">
        <v>277</v>
      </c>
      <c r="D56" s="92" t="s">
        <v>278</v>
      </c>
      <c r="E56" s="184">
        <v>80950</v>
      </c>
      <c r="F56" s="98" t="s">
        <v>343</v>
      </c>
      <c r="G56" s="124"/>
    </row>
    <row r="57" spans="1:7" ht="30">
      <c r="A57" s="27">
        <v>51</v>
      </c>
      <c r="B57" s="86" t="s">
        <v>56</v>
      </c>
      <c r="C57" s="99" t="s">
        <v>197</v>
      </c>
      <c r="D57" s="92" t="s">
        <v>194</v>
      </c>
      <c r="E57" s="184">
        <v>266000</v>
      </c>
      <c r="F57" s="100" t="s">
        <v>195</v>
      </c>
      <c r="G57" s="124"/>
    </row>
    <row r="58" spans="1:7" ht="30">
      <c r="A58" s="12">
        <v>52</v>
      </c>
      <c r="B58" s="86" t="s">
        <v>56</v>
      </c>
      <c r="C58" s="99" t="s">
        <v>196</v>
      </c>
      <c r="D58" s="92" t="s">
        <v>199</v>
      </c>
      <c r="E58" s="184">
        <v>428356</v>
      </c>
      <c r="F58" s="100" t="s">
        <v>195</v>
      </c>
      <c r="G58" s="124"/>
    </row>
    <row r="59" spans="1:7" ht="30">
      <c r="A59" s="148">
        <v>53</v>
      </c>
      <c r="B59" s="86" t="s">
        <v>56</v>
      </c>
      <c r="C59" s="99" t="s">
        <v>198</v>
      </c>
      <c r="D59" s="92" t="s">
        <v>193</v>
      </c>
      <c r="E59" s="184">
        <v>156694</v>
      </c>
      <c r="F59" s="100" t="s">
        <v>195</v>
      </c>
      <c r="G59" s="124"/>
    </row>
    <row r="60" spans="1:7" ht="45">
      <c r="A60" s="148">
        <v>54</v>
      </c>
      <c r="B60" s="101" t="s">
        <v>201</v>
      </c>
      <c r="C60" s="102" t="s">
        <v>205</v>
      </c>
      <c r="D60" s="103" t="s">
        <v>206</v>
      </c>
      <c r="E60" s="184">
        <v>317730</v>
      </c>
      <c r="F60" s="100" t="s">
        <v>207</v>
      </c>
      <c r="G60" s="67"/>
    </row>
    <row r="61" spans="1:7" ht="45">
      <c r="A61" s="149">
        <v>55</v>
      </c>
      <c r="B61" s="101" t="s">
        <v>201</v>
      </c>
      <c r="C61" s="102" t="s">
        <v>208</v>
      </c>
      <c r="D61" s="103" t="s">
        <v>209</v>
      </c>
      <c r="E61" s="184">
        <v>1033290</v>
      </c>
      <c r="F61" s="100" t="s">
        <v>210</v>
      </c>
    </row>
    <row r="62" spans="1:7" ht="75">
      <c r="A62" s="148">
        <v>56</v>
      </c>
      <c r="B62" s="101" t="s">
        <v>201</v>
      </c>
      <c r="C62" s="102" t="s">
        <v>202</v>
      </c>
      <c r="D62" s="103" t="s">
        <v>203</v>
      </c>
      <c r="E62" s="184">
        <v>149990</v>
      </c>
      <c r="F62" s="100" t="s">
        <v>204</v>
      </c>
    </row>
    <row r="63" spans="1:7" s="1" customFormat="1" ht="30">
      <c r="A63" s="148">
        <v>57</v>
      </c>
      <c r="B63" s="101" t="s">
        <v>201</v>
      </c>
      <c r="C63" s="102" t="s">
        <v>233</v>
      </c>
      <c r="D63" s="103" t="s">
        <v>219</v>
      </c>
      <c r="E63" s="184">
        <v>2201860</v>
      </c>
      <c r="F63" s="31" t="s">
        <v>234</v>
      </c>
      <c r="G63" s="106"/>
    </row>
    <row r="64" spans="1:7" s="1" customFormat="1" ht="18" customHeight="1">
      <c r="A64" s="148">
        <v>58</v>
      </c>
      <c r="B64" s="101" t="s">
        <v>211</v>
      </c>
      <c r="C64" s="102" t="s">
        <v>269</v>
      </c>
      <c r="D64" s="103" t="s">
        <v>270</v>
      </c>
      <c r="E64" s="184">
        <v>438000</v>
      </c>
      <c r="F64" s="31" t="s">
        <v>328</v>
      </c>
      <c r="G64" s="106"/>
    </row>
    <row r="65" spans="1:7" ht="45">
      <c r="A65" s="148">
        <v>59</v>
      </c>
      <c r="B65" s="101" t="s">
        <v>211</v>
      </c>
      <c r="C65" s="102" t="s">
        <v>213</v>
      </c>
      <c r="D65" s="103" t="s">
        <v>214</v>
      </c>
      <c r="E65" s="184">
        <v>237960</v>
      </c>
      <c r="F65" s="100" t="s">
        <v>242</v>
      </c>
      <c r="G65" s="106"/>
    </row>
    <row r="66" spans="1:7" ht="45">
      <c r="A66" s="149">
        <v>60</v>
      </c>
      <c r="B66" s="101" t="s">
        <v>211</v>
      </c>
      <c r="C66" s="102" t="s">
        <v>212</v>
      </c>
      <c r="D66" s="26" t="s">
        <v>128</v>
      </c>
      <c r="E66" s="184">
        <v>39422</v>
      </c>
      <c r="F66" s="100" t="s">
        <v>243</v>
      </c>
      <c r="G66" s="106"/>
    </row>
    <row r="67" spans="1:7" ht="45">
      <c r="A67" s="12">
        <v>61</v>
      </c>
      <c r="B67" s="186" t="s">
        <v>211</v>
      </c>
      <c r="C67" s="102" t="s">
        <v>215</v>
      </c>
      <c r="D67" s="103" t="s">
        <v>216</v>
      </c>
      <c r="E67" s="184">
        <v>313866</v>
      </c>
      <c r="F67" s="31" t="s">
        <v>217</v>
      </c>
      <c r="G67" s="106"/>
    </row>
    <row r="68" spans="1:7" ht="30">
      <c r="A68" s="12">
        <v>62</v>
      </c>
      <c r="B68" s="186" t="s">
        <v>211</v>
      </c>
      <c r="C68" s="102" t="s">
        <v>218</v>
      </c>
      <c r="D68" s="103" t="s">
        <v>219</v>
      </c>
      <c r="E68" s="184">
        <v>10180</v>
      </c>
      <c r="F68" s="31" t="s">
        <v>235</v>
      </c>
      <c r="G68" s="113"/>
    </row>
    <row r="69" spans="1:7" ht="45">
      <c r="A69" s="12">
        <v>63</v>
      </c>
      <c r="B69" s="186" t="s">
        <v>211</v>
      </c>
      <c r="C69" s="104" t="s">
        <v>220</v>
      </c>
      <c r="D69" s="105" t="s">
        <v>194</v>
      </c>
      <c r="E69" s="184">
        <v>254785</v>
      </c>
      <c r="F69" s="100" t="s">
        <v>236</v>
      </c>
      <c r="G69" s="106"/>
    </row>
    <row r="70" spans="1:7" ht="45">
      <c r="A70" s="187">
        <v>64</v>
      </c>
      <c r="B70" s="101" t="s">
        <v>211</v>
      </c>
      <c r="C70" s="104" t="s">
        <v>221</v>
      </c>
      <c r="D70" s="105" t="s">
        <v>222</v>
      </c>
      <c r="E70" s="184">
        <v>73925</v>
      </c>
      <c r="F70" s="100" t="s">
        <v>237</v>
      </c>
      <c r="G70" s="106"/>
    </row>
    <row r="71" spans="1:7" ht="46.5" customHeight="1">
      <c r="A71" s="148">
        <v>65</v>
      </c>
      <c r="B71" s="101" t="s">
        <v>211</v>
      </c>
      <c r="C71" s="104" t="s">
        <v>223</v>
      </c>
      <c r="D71" s="105" t="s">
        <v>222</v>
      </c>
      <c r="E71" s="184">
        <v>633675</v>
      </c>
      <c r="F71" s="100" t="s">
        <v>238</v>
      </c>
      <c r="G71" s="106"/>
    </row>
    <row r="72" spans="1:7" ht="45">
      <c r="A72" s="148">
        <v>66</v>
      </c>
      <c r="B72" s="101" t="s">
        <v>211</v>
      </c>
      <c r="C72" s="104" t="s">
        <v>224</v>
      </c>
      <c r="D72" s="105" t="s">
        <v>225</v>
      </c>
      <c r="E72" s="184">
        <v>22035</v>
      </c>
      <c r="F72" s="100" t="s">
        <v>239</v>
      </c>
      <c r="G72" s="106"/>
    </row>
    <row r="73" spans="1:7" ht="43.5" customHeight="1">
      <c r="A73" s="148">
        <v>67</v>
      </c>
      <c r="B73" s="101" t="s">
        <v>211</v>
      </c>
      <c r="C73" s="104" t="s">
        <v>226</v>
      </c>
      <c r="D73" s="105" t="s">
        <v>227</v>
      </c>
      <c r="E73" s="184">
        <v>228800</v>
      </c>
      <c r="F73" s="100" t="s">
        <v>240</v>
      </c>
      <c r="G73" s="106"/>
    </row>
    <row r="74" spans="1:7" ht="45">
      <c r="A74" s="12">
        <v>68</v>
      </c>
      <c r="B74" s="101" t="s">
        <v>211</v>
      </c>
      <c r="C74" s="104" t="s">
        <v>228</v>
      </c>
      <c r="D74" s="105" t="s">
        <v>229</v>
      </c>
      <c r="E74" s="184">
        <v>102035</v>
      </c>
      <c r="F74" s="100" t="s">
        <v>241</v>
      </c>
      <c r="G74" s="106"/>
    </row>
    <row r="75" spans="1:7" ht="45.75" thickBot="1">
      <c r="A75" s="141">
        <v>69</v>
      </c>
      <c r="B75" s="180" t="s">
        <v>211</v>
      </c>
      <c r="C75" s="181" t="s">
        <v>254</v>
      </c>
      <c r="D75" s="182" t="s">
        <v>272</v>
      </c>
      <c r="E75" s="185">
        <v>159240</v>
      </c>
      <c r="F75" s="183" t="s">
        <v>313</v>
      </c>
      <c r="G75" s="67"/>
    </row>
    <row r="76" spans="1:7" s="1" customFormat="1">
      <c r="A76" s="567"/>
      <c r="B76" s="360"/>
      <c r="C76" s="571"/>
      <c r="D76" s="568"/>
      <c r="E76" s="569"/>
      <c r="F76" s="570"/>
      <c r="G76" s="67"/>
    </row>
    <row r="77" spans="1:7" s="1" customFormat="1">
      <c r="A77" s="567"/>
      <c r="B77" s="360"/>
      <c r="C77" s="571"/>
      <c r="D77" s="568"/>
      <c r="E77" s="569"/>
      <c r="F77" s="570"/>
      <c r="G77" s="67"/>
    </row>
    <row r="78" spans="1:7" s="1" customFormat="1">
      <c r="A78" s="567"/>
      <c r="B78" s="360"/>
      <c r="C78" s="571"/>
      <c r="D78" s="568"/>
      <c r="E78" s="569"/>
      <c r="F78" s="570"/>
      <c r="G78" s="67"/>
    </row>
    <row r="79" spans="1:7" s="1" customFormat="1">
      <c r="A79" s="567"/>
      <c r="B79" s="360"/>
      <c r="C79" s="571"/>
      <c r="D79" s="568"/>
      <c r="E79" s="569"/>
      <c r="F79" s="570"/>
      <c r="G79" s="67"/>
    </row>
    <row r="80" spans="1:7" s="1" customFormat="1">
      <c r="A80" s="567"/>
      <c r="B80" s="360"/>
      <c r="C80" s="571"/>
      <c r="D80" s="568"/>
      <c r="E80" s="569"/>
      <c r="F80" s="570"/>
      <c r="G80" s="67"/>
    </row>
    <row r="81" spans="1:7" s="1" customFormat="1">
      <c r="A81" s="567"/>
      <c r="B81" s="360"/>
      <c r="C81" s="571"/>
      <c r="D81" s="568"/>
      <c r="E81" s="569"/>
      <c r="F81" s="570"/>
      <c r="G81" s="67"/>
    </row>
    <row r="82" spans="1:7" s="1" customFormat="1">
      <c r="A82" s="567"/>
      <c r="B82" s="360"/>
      <c r="C82" s="571"/>
      <c r="D82" s="568"/>
      <c r="E82" s="569"/>
      <c r="F82" s="570"/>
      <c r="G82" s="67"/>
    </row>
    <row r="83" spans="1:7" s="1" customFormat="1">
      <c r="A83" s="567"/>
      <c r="B83" s="360"/>
      <c r="C83" s="571"/>
      <c r="D83" s="568"/>
      <c r="E83" s="569"/>
      <c r="F83" s="570"/>
      <c r="G83" s="67"/>
    </row>
    <row r="84" spans="1:7" s="1" customFormat="1" ht="15.75" thickBot="1">
      <c r="A84" s="567"/>
      <c r="B84" s="360"/>
      <c r="C84" s="571"/>
      <c r="D84" s="568"/>
      <c r="E84" s="569"/>
      <c r="F84" s="570"/>
      <c r="G84" s="67"/>
    </row>
    <row r="85" spans="1:7" s="1" customFormat="1">
      <c r="A85" s="567"/>
      <c r="B85" s="574" t="s">
        <v>129</v>
      </c>
      <c r="C85" s="575" t="s">
        <v>787</v>
      </c>
      <c r="D85" s="568"/>
      <c r="E85" s="569"/>
      <c r="F85" s="570"/>
      <c r="G85" s="67"/>
    </row>
    <row r="86" spans="1:7">
      <c r="A86" s="28"/>
      <c r="B86" s="576"/>
      <c r="C86" s="577"/>
      <c r="D86" s="30"/>
      <c r="E86" s="30"/>
      <c r="F86" s="30"/>
      <c r="G86" s="67"/>
    </row>
    <row r="87" spans="1:7" ht="30">
      <c r="A87" s="28"/>
      <c r="B87" s="578" t="s">
        <v>271</v>
      </c>
      <c r="C87" s="579">
        <f>E63+E64</f>
        <v>2639860</v>
      </c>
      <c r="D87" s="572"/>
      <c r="E87" s="572"/>
      <c r="F87" s="30"/>
    </row>
    <row r="88" spans="1:7">
      <c r="A88" s="28"/>
      <c r="B88" s="580" t="s">
        <v>230</v>
      </c>
      <c r="C88" s="579">
        <f>E60+E61+E62+E69+E70+E71+E72+E73+E74+E75</f>
        <v>2975505</v>
      </c>
      <c r="D88" s="573"/>
      <c r="E88" s="572"/>
      <c r="F88" s="30"/>
    </row>
    <row r="89" spans="1:7" ht="16.5" customHeight="1">
      <c r="A89" s="28"/>
      <c r="B89" s="578" t="s">
        <v>232</v>
      </c>
      <c r="C89" s="579">
        <f>E65+E66</f>
        <v>277382</v>
      </c>
      <c r="D89" s="573"/>
      <c r="E89" s="572"/>
      <c r="F89" s="30"/>
    </row>
    <row r="90" spans="1:7" ht="30">
      <c r="A90" s="28"/>
      <c r="B90" s="578" t="s">
        <v>231</v>
      </c>
      <c r="C90" s="29">
        <f>E67+E68</f>
        <v>324046</v>
      </c>
      <c r="D90" s="573"/>
      <c r="E90" s="572"/>
      <c r="F90" s="30"/>
    </row>
    <row r="91" spans="1:7" ht="15.75" thickBot="1">
      <c r="A91" s="28"/>
      <c r="B91" s="581" t="s">
        <v>200</v>
      </c>
      <c r="C91" s="582">
        <f>E57+E58+E59</f>
        <v>851050</v>
      </c>
      <c r="D91" s="573"/>
      <c r="E91" s="572"/>
      <c r="F91" s="30"/>
    </row>
    <row r="92" spans="1:7" ht="15.75" thickBot="1">
      <c r="A92" s="28"/>
      <c r="B92" s="3" t="s">
        <v>130</v>
      </c>
      <c r="C92" s="583">
        <v>6537120</v>
      </c>
      <c r="D92" s="573"/>
      <c r="E92" s="573"/>
      <c r="F92" s="30"/>
    </row>
    <row r="93" spans="1:7">
      <c r="A93" s="28"/>
      <c r="B93" s="30"/>
      <c r="C93" s="30"/>
      <c r="D93" s="30"/>
      <c r="E93" s="30"/>
      <c r="F93" s="30"/>
    </row>
    <row r="94" spans="1:7">
      <c r="A94" s="28"/>
      <c r="B94" s="30"/>
      <c r="C94" s="30"/>
      <c r="D94" s="30"/>
      <c r="E94" s="30"/>
      <c r="F94" s="30"/>
    </row>
    <row r="95" spans="1:7">
      <c r="A95" s="28"/>
      <c r="B95" s="421" t="s">
        <v>131</v>
      </c>
      <c r="C95" s="421"/>
      <c r="D95" s="421"/>
      <c r="E95" s="421"/>
      <c r="F95" s="421"/>
    </row>
    <row r="96" spans="1:7">
      <c r="A96" s="28"/>
      <c r="B96" s="30"/>
      <c r="C96" s="30"/>
      <c r="D96" s="28"/>
      <c r="E96" s="28"/>
      <c r="F96" s="28"/>
    </row>
  </sheetData>
  <mergeCells count="10">
    <mergeCell ref="B95:F95"/>
    <mergeCell ref="D5:D6"/>
    <mergeCell ref="E5:E6"/>
    <mergeCell ref="F5:F6"/>
    <mergeCell ref="A3:F3"/>
    <mergeCell ref="A5:A6"/>
    <mergeCell ref="B5:B6"/>
    <mergeCell ref="C5:C6"/>
    <mergeCell ref="B85:B86"/>
    <mergeCell ref="C85:C86"/>
  </mergeCells>
  <pageMargins left="0.9055118110236221" right="0.5118110236220472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136" zoomScaleNormal="136" workbookViewId="0">
      <selection activeCell="F1" sqref="F1"/>
    </sheetView>
  </sheetViews>
  <sheetFormatPr defaultRowHeight="15"/>
  <cols>
    <col min="1" max="1" width="4" customWidth="1"/>
    <col min="2" max="2" width="28.85546875" customWidth="1"/>
    <col min="3" max="3" width="18.42578125" customWidth="1"/>
    <col min="4" max="4" width="11.42578125" customWidth="1"/>
    <col min="5" max="5" width="11.7109375" customWidth="1"/>
    <col min="6" max="6" width="53" customWidth="1"/>
    <col min="7" max="7" width="34.7109375" customWidth="1"/>
  </cols>
  <sheetData>
    <row r="1" spans="1:7">
      <c r="A1" s="1"/>
      <c r="B1" s="1"/>
      <c r="C1" s="1"/>
      <c r="D1" s="1"/>
      <c r="E1" s="1"/>
      <c r="F1" s="4" t="s">
        <v>139</v>
      </c>
    </row>
    <row r="2" spans="1:7" ht="18.75">
      <c r="A2" s="434" t="s">
        <v>184</v>
      </c>
      <c r="B2" s="434"/>
      <c r="C2" s="434"/>
      <c r="D2" s="434"/>
      <c r="E2" s="434"/>
      <c r="F2" s="434"/>
    </row>
    <row r="3" spans="1:7" ht="15.75" thickBot="1">
      <c r="A3" s="1"/>
      <c r="B3" s="1"/>
      <c r="C3" s="1"/>
      <c r="D3" s="1"/>
      <c r="E3" s="1"/>
      <c r="F3" s="1"/>
    </row>
    <row r="4" spans="1:7">
      <c r="A4" s="435" t="s">
        <v>0</v>
      </c>
      <c r="B4" s="437" t="s">
        <v>1</v>
      </c>
      <c r="C4" s="439" t="s">
        <v>255</v>
      </c>
      <c r="D4" s="439" t="s">
        <v>2</v>
      </c>
      <c r="E4" s="439" t="s">
        <v>3</v>
      </c>
      <c r="F4" s="441" t="s">
        <v>4</v>
      </c>
    </row>
    <row r="5" spans="1:7" ht="24" customHeight="1" thickBot="1">
      <c r="A5" s="436"/>
      <c r="B5" s="438"/>
      <c r="C5" s="440"/>
      <c r="D5" s="440"/>
      <c r="E5" s="440"/>
      <c r="F5" s="442"/>
    </row>
    <row r="6" spans="1:7" ht="26.25">
      <c r="A6" s="35">
        <v>1</v>
      </c>
      <c r="B6" s="36" t="s">
        <v>140</v>
      </c>
      <c r="C6" s="37" t="s">
        <v>141</v>
      </c>
      <c r="D6" s="38" t="s">
        <v>142</v>
      </c>
      <c r="E6" s="153">
        <v>6000</v>
      </c>
      <c r="F6" s="161" t="s">
        <v>143</v>
      </c>
    </row>
    <row r="7" spans="1:7" ht="38.25">
      <c r="A7" s="39">
        <v>2</v>
      </c>
      <c r="B7" s="40" t="s">
        <v>144</v>
      </c>
      <c r="C7" s="41" t="s">
        <v>145</v>
      </c>
      <c r="D7" s="42" t="s">
        <v>146</v>
      </c>
      <c r="E7" s="154">
        <v>7000</v>
      </c>
      <c r="F7" s="159" t="s">
        <v>147</v>
      </c>
    </row>
    <row r="8" spans="1:7" ht="25.5">
      <c r="A8" s="44">
        <v>3</v>
      </c>
      <c r="B8" s="45" t="s">
        <v>318</v>
      </c>
      <c r="C8" s="46" t="s">
        <v>148</v>
      </c>
      <c r="D8" s="47" t="s">
        <v>149</v>
      </c>
      <c r="E8" s="154">
        <v>4000</v>
      </c>
      <c r="F8" s="162" t="s">
        <v>150</v>
      </c>
      <c r="G8" s="1"/>
    </row>
    <row r="9" spans="1:7" ht="40.5" customHeight="1">
      <c r="A9" s="48">
        <v>4</v>
      </c>
      <c r="B9" s="45" t="s">
        <v>151</v>
      </c>
      <c r="C9" s="46" t="s">
        <v>288</v>
      </c>
      <c r="D9" s="128" t="s">
        <v>287</v>
      </c>
      <c r="E9" s="43" t="s">
        <v>319</v>
      </c>
      <c r="F9" s="162" t="s">
        <v>152</v>
      </c>
    </row>
    <row r="10" spans="1:7" ht="66" customHeight="1">
      <c r="A10" s="48">
        <v>5</v>
      </c>
      <c r="B10" s="50" t="s">
        <v>153</v>
      </c>
      <c r="C10" s="46" t="s">
        <v>758</v>
      </c>
      <c r="D10" s="128" t="s">
        <v>759</v>
      </c>
      <c r="E10" s="152">
        <v>10000</v>
      </c>
      <c r="F10" s="162" t="s">
        <v>154</v>
      </c>
    </row>
    <row r="11" spans="1:7" s="1" customFormat="1" ht="30" customHeight="1">
      <c r="A11" s="48">
        <v>6</v>
      </c>
      <c r="B11" s="155" t="s">
        <v>320</v>
      </c>
      <c r="C11" s="156" t="s">
        <v>321</v>
      </c>
      <c r="D11" s="157">
        <v>42826</v>
      </c>
      <c r="E11" s="168">
        <v>6000</v>
      </c>
      <c r="F11" s="158" t="s">
        <v>322</v>
      </c>
    </row>
    <row r="12" spans="1:7" s="1" customFormat="1" ht="25.5">
      <c r="A12" s="48">
        <v>7</v>
      </c>
      <c r="B12" s="53" t="s">
        <v>314</v>
      </c>
      <c r="C12" s="49" t="s">
        <v>286</v>
      </c>
      <c r="D12" s="47" t="s">
        <v>163</v>
      </c>
      <c r="E12" s="152">
        <v>19000</v>
      </c>
      <c r="F12" s="162" t="s">
        <v>154</v>
      </c>
    </row>
    <row r="13" spans="1:7" ht="25.5">
      <c r="A13" s="51">
        <v>8</v>
      </c>
      <c r="B13" s="52" t="s">
        <v>155</v>
      </c>
      <c r="C13" s="49" t="s">
        <v>156</v>
      </c>
      <c r="D13" s="47" t="s">
        <v>157</v>
      </c>
      <c r="E13" s="154">
        <v>7000</v>
      </c>
      <c r="F13" s="162" t="s">
        <v>152</v>
      </c>
    </row>
    <row r="14" spans="1:7" ht="25.5">
      <c r="A14" s="51">
        <v>9</v>
      </c>
      <c r="B14" s="53" t="s">
        <v>158</v>
      </c>
      <c r="C14" s="54" t="s">
        <v>159</v>
      </c>
      <c r="D14" s="47" t="s">
        <v>160</v>
      </c>
      <c r="E14" s="154">
        <v>1353</v>
      </c>
      <c r="F14" s="162" t="s">
        <v>152</v>
      </c>
    </row>
    <row r="15" spans="1:7" ht="26.25">
      <c r="A15" s="48">
        <v>10</v>
      </c>
      <c r="B15" s="52" t="s">
        <v>161</v>
      </c>
      <c r="C15" s="55" t="s">
        <v>162</v>
      </c>
      <c r="D15" s="56" t="s">
        <v>163</v>
      </c>
      <c r="E15" s="150">
        <v>11500</v>
      </c>
      <c r="F15" s="160" t="s">
        <v>330</v>
      </c>
    </row>
    <row r="16" spans="1:7" ht="15.75" thickBot="1">
      <c r="A16" s="44">
        <v>11</v>
      </c>
      <c r="B16" s="40" t="s">
        <v>165</v>
      </c>
      <c r="C16" s="55" t="s">
        <v>166</v>
      </c>
      <c r="D16" s="56" t="s">
        <v>167</v>
      </c>
      <c r="E16" s="150">
        <v>12000</v>
      </c>
      <c r="F16" s="160" t="s">
        <v>164</v>
      </c>
    </row>
    <row r="17" spans="1:7" ht="15.75" thickBot="1">
      <c r="A17" s="163"/>
      <c r="B17" s="196" t="s">
        <v>323</v>
      </c>
      <c r="C17" s="164"/>
      <c r="D17" s="165"/>
      <c r="E17" s="193">
        <f>E6+E7+E8+10000+E10+E11+E12+E13+E14+E15+E16</f>
        <v>93853</v>
      </c>
      <c r="F17" s="167"/>
    </row>
    <row r="18" spans="1:7" ht="15.75" thickBot="1">
      <c r="A18" s="163"/>
      <c r="B18" s="196" t="s">
        <v>324</v>
      </c>
      <c r="C18" s="164"/>
      <c r="D18" s="165"/>
      <c r="E18" s="166">
        <f>(E17*12)-46000</f>
        <v>1080236</v>
      </c>
      <c r="F18" s="167"/>
    </row>
    <row r="19" spans="1:7" ht="15.75" thickBot="1">
      <c r="A19" s="57"/>
      <c r="B19" s="58"/>
      <c r="C19" s="60"/>
      <c r="D19" s="61"/>
      <c r="E19" s="62"/>
      <c r="F19" s="59"/>
    </row>
    <row r="20" spans="1:7" ht="26.25" thickBot="1">
      <c r="A20" s="63" t="s">
        <v>168</v>
      </c>
      <c r="B20" s="64" t="s">
        <v>169</v>
      </c>
      <c r="C20" s="65" t="s">
        <v>170</v>
      </c>
      <c r="D20" s="65" t="s">
        <v>315</v>
      </c>
      <c r="E20" s="66" t="s">
        <v>316</v>
      </c>
      <c r="F20" s="1"/>
    </row>
    <row r="21" spans="1:7">
      <c r="A21" s="443">
        <v>1</v>
      </c>
      <c r="B21" s="445" t="s">
        <v>171</v>
      </c>
      <c r="C21" s="447" t="s">
        <v>172</v>
      </c>
      <c r="D21" s="449">
        <v>39500</v>
      </c>
      <c r="E21" s="451" t="s">
        <v>763</v>
      </c>
      <c r="F21" s="1"/>
    </row>
    <row r="22" spans="1:7" ht="33" customHeight="1">
      <c r="A22" s="444"/>
      <c r="B22" s="446"/>
      <c r="C22" s="448"/>
      <c r="D22" s="450"/>
      <c r="E22" s="452"/>
      <c r="F22" s="67"/>
    </row>
    <row r="23" spans="1:7" ht="23.25" thickBot="1">
      <c r="A23" s="69">
        <v>3</v>
      </c>
      <c r="B23" s="70" t="s">
        <v>764</v>
      </c>
      <c r="C23" s="71" t="s">
        <v>173</v>
      </c>
      <c r="D23" s="68">
        <v>6500</v>
      </c>
      <c r="E23" s="72">
        <v>5551.64</v>
      </c>
      <c r="F23" s="1"/>
    </row>
    <row r="24" spans="1:7" ht="15.75" thickBot="1">
      <c r="A24" s="407"/>
      <c r="B24" s="408" t="s">
        <v>174</v>
      </c>
      <c r="C24" s="82"/>
      <c r="D24" s="82">
        <f>D21+D23</f>
        <v>46000</v>
      </c>
      <c r="E24" s="83">
        <v>44801.64</v>
      </c>
      <c r="F24" s="73"/>
    </row>
    <row r="25" spans="1:7" ht="15.75" thickBot="1">
      <c r="A25" s="74"/>
      <c r="B25" s="75"/>
      <c r="C25" s="76"/>
      <c r="D25" s="76"/>
      <c r="E25" s="76"/>
      <c r="F25" s="1"/>
    </row>
    <row r="26" spans="1:7" ht="25.5">
      <c r="A26" s="387" t="s">
        <v>175</v>
      </c>
      <c r="B26" s="388" t="s">
        <v>176</v>
      </c>
      <c r="C26" s="389" t="s">
        <v>315</v>
      </c>
      <c r="D26" s="390" t="s">
        <v>316</v>
      </c>
      <c r="E26" s="76"/>
      <c r="F26" s="1"/>
      <c r="G26" s="194"/>
    </row>
    <row r="27" spans="1:7" s="1" customFormat="1">
      <c r="A27" s="51">
        <v>1</v>
      </c>
      <c r="B27" s="391" t="s">
        <v>760</v>
      </c>
      <c r="C27" s="392">
        <v>0</v>
      </c>
      <c r="D27" s="396" t="s">
        <v>761</v>
      </c>
      <c r="E27" s="76"/>
    </row>
    <row r="28" spans="1:7" s="1" customFormat="1">
      <c r="A28" s="397">
        <v>2</v>
      </c>
      <c r="B28" s="393" t="s">
        <v>762</v>
      </c>
      <c r="C28" s="394">
        <v>-3500</v>
      </c>
      <c r="D28" s="351" t="s">
        <v>763</v>
      </c>
      <c r="E28" s="76"/>
    </row>
    <row r="29" spans="1:7">
      <c r="A29" s="190">
        <v>3</v>
      </c>
      <c r="B29" s="191" t="s">
        <v>177</v>
      </c>
      <c r="C29" s="192">
        <v>17000</v>
      </c>
      <c r="D29" s="395">
        <v>18500</v>
      </c>
      <c r="E29" s="76"/>
      <c r="F29" s="1"/>
    </row>
    <row r="30" spans="1:7">
      <c r="A30" s="48">
        <v>4</v>
      </c>
      <c r="B30" s="77" t="s">
        <v>178</v>
      </c>
      <c r="C30" s="78">
        <v>969.7</v>
      </c>
      <c r="D30" s="80">
        <v>969.7</v>
      </c>
      <c r="E30" s="76"/>
      <c r="F30" s="1"/>
    </row>
    <row r="31" spans="1:7">
      <c r="A31" s="48">
        <v>5</v>
      </c>
      <c r="B31" s="77" t="s">
        <v>179</v>
      </c>
      <c r="C31" s="78">
        <v>155512.18</v>
      </c>
      <c r="D31" s="79">
        <v>116568.17</v>
      </c>
      <c r="E31" s="76"/>
      <c r="F31" s="1"/>
    </row>
    <row r="32" spans="1:7">
      <c r="A32" s="48">
        <v>6</v>
      </c>
      <c r="B32" s="77" t="s">
        <v>180</v>
      </c>
      <c r="C32" s="78">
        <v>48729.01</v>
      </c>
      <c r="D32" s="80">
        <v>53256.09</v>
      </c>
      <c r="E32" s="76"/>
      <c r="F32" s="1"/>
    </row>
    <row r="33" spans="1:6" ht="15.75" thickBot="1">
      <c r="A33" s="400">
        <v>7</v>
      </c>
      <c r="B33" s="401" t="s">
        <v>181</v>
      </c>
      <c r="C33" s="402">
        <v>305612.88</v>
      </c>
      <c r="D33" s="403">
        <v>305863.17</v>
      </c>
      <c r="E33" s="76"/>
      <c r="F33" s="1"/>
    </row>
    <row r="34" spans="1:6" ht="15.75" thickBot="1">
      <c r="A34" s="399"/>
      <c r="B34" s="81" t="s">
        <v>174</v>
      </c>
      <c r="C34" s="82">
        <f>SUM(C27:C33)</f>
        <v>524323.77</v>
      </c>
      <c r="D34" s="398">
        <v>534429.46</v>
      </c>
      <c r="E34" s="76"/>
      <c r="F34" s="1"/>
    </row>
    <row r="35" spans="1:6" ht="15.75" thickBot="1">
      <c r="A35" s="74"/>
      <c r="B35" s="404" t="s">
        <v>182</v>
      </c>
      <c r="C35" s="405">
        <f>D24+C34</f>
        <v>570323.77</v>
      </c>
      <c r="D35" s="406">
        <f>E24+D34</f>
        <v>579231.1</v>
      </c>
      <c r="E35" s="84"/>
      <c r="F35" s="1"/>
    </row>
    <row r="36" spans="1:6">
      <c r="A36" s="74"/>
      <c r="B36" s="84"/>
      <c r="C36" s="84"/>
      <c r="D36" s="84"/>
      <c r="E36" s="84"/>
      <c r="F36" s="194"/>
    </row>
    <row r="37" spans="1:6">
      <c r="A37" s="74"/>
      <c r="B37" s="75"/>
      <c r="C37" s="76"/>
      <c r="D37" s="76"/>
      <c r="E37" s="1"/>
      <c r="F37" s="1"/>
    </row>
    <row r="38" spans="1:6">
      <c r="A38" s="74"/>
      <c r="B38" s="75"/>
      <c r="C38" s="76"/>
      <c r="D38" s="76"/>
      <c r="E38" s="1"/>
      <c r="F38" s="1"/>
    </row>
    <row r="39" spans="1:6">
      <c r="A39" s="1"/>
      <c r="B39" s="1"/>
      <c r="C39" s="1"/>
      <c r="D39" s="76"/>
      <c r="E39" s="1"/>
      <c r="F39" s="1"/>
    </row>
    <row r="40" spans="1:6">
      <c r="A40" s="433" t="s">
        <v>183</v>
      </c>
      <c r="B40" s="433"/>
      <c r="C40" s="433"/>
      <c r="D40" s="433"/>
      <c r="E40" s="433"/>
      <c r="F40" s="433"/>
    </row>
    <row r="41" spans="1:6">
      <c r="A41" s="1"/>
      <c r="B41" s="1"/>
      <c r="C41" s="1"/>
      <c r="D41" s="1"/>
      <c r="E41" s="1"/>
      <c r="F41" s="1"/>
    </row>
  </sheetData>
  <mergeCells count="13">
    <mergeCell ref="A40:F40"/>
    <mergeCell ref="A2:F2"/>
    <mergeCell ref="A4:A5"/>
    <mergeCell ref="B4:B5"/>
    <mergeCell ref="C4:C5"/>
    <mergeCell ref="D4:D5"/>
    <mergeCell ref="E4:E5"/>
    <mergeCell ref="F4:F5"/>
    <mergeCell ref="A21:A22"/>
    <mergeCell ref="B21:B22"/>
    <mergeCell ref="C21:C22"/>
    <mergeCell ref="D21:D22"/>
    <mergeCell ref="E21:E22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4"/>
  <sheetViews>
    <sheetView topLeftCell="A379" zoomScale="93" zoomScaleNormal="93" workbookViewId="0">
      <selection activeCell="B387" sqref="B387"/>
    </sheetView>
  </sheetViews>
  <sheetFormatPr defaultRowHeight="15"/>
  <cols>
    <col min="1" max="1" width="4.7109375" customWidth="1"/>
    <col min="2" max="2" width="45.85546875" customWidth="1"/>
    <col min="3" max="3" width="6.28515625" customWidth="1"/>
    <col min="4" max="4" width="4.28515625" customWidth="1"/>
    <col min="5" max="5" width="10.28515625" customWidth="1"/>
    <col min="6" max="6" width="27" customWidth="1"/>
    <col min="7" max="7" width="9" style="1" customWidth="1"/>
    <col min="9" max="9" width="11" customWidth="1"/>
    <col min="10" max="10" width="25.85546875" customWidth="1"/>
    <col min="11" max="11" width="10.85546875" bestFit="1" customWidth="1"/>
    <col min="12" max="13" width="9.28515625" bestFit="1" customWidth="1"/>
  </cols>
  <sheetData>
    <row r="1" spans="1:13" s="1" customFormat="1" ht="15.75">
      <c r="E1" s="453" t="s">
        <v>786</v>
      </c>
      <c r="F1" s="453"/>
    </row>
    <row r="2" spans="1:13" s="1" customFormat="1"/>
    <row r="3" spans="1:13" ht="15.75">
      <c r="A3" s="501" t="s">
        <v>517</v>
      </c>
      <c r="B3" s="501"/>
      <c r="C3" s="501"/>
      <c r="D3" s="501"/>
      <c r="E3" s="501"/>
      <c r="F3" s="501"/>
      <c r="G3" s="298"/>
    </row>
    <row r="4" spans="1:13" s="1" customFormat="1" ht="16.5" thickBot="1">
      <c r="A4" s="415"/>
      <c r="B4" s="415"/>
      <c r="C4" s="415"/>
      <c r="D4" s="415"/>
      <c r="E4" s="415"/>
      <c r="F4" s="415"/>
      <c r="G4" s="298"/>
    </row>
    <row r="5" spans="1:13" ht="34.5" customHeight="1" thickBot="1">
      <c r="A5" s="310" t="s">
        <v>175</v>
      </c>
      <c r="B5" s="198" t="s">
        <v>348</v>
      </c>
      <c r="C5" s="200"/>
      <c r="D5" s="199" t="s">
        <v>349</v>
      </c>
      <c r="E5" s="199" t="s">
        <v>350</v>
      </c>
      <c r="F5" s="311" t="s">
        <v>351</v>
      </c>
      <c r="G5" s="298"/>
      <c r="H5" s="553"/>
      <c r="I5" s="553"/>
      <c r="J5" s="553"/>
      <c r="K5" s="273"/>
    </row>
    <row r="6" spans="1:13">
      <c r="A6" s="507"/>
      <c r="B6" s="487" t="s">
        <v>352</v>
      </c>
      <c r="C6" s="509"/>
      <c r="D6" s="483"/>
      <c r="E6" s="485">
        <f>SUM(E8:E127)</f>
        <v>291282.82799999998</v>
      </c>
      <c r="F6" s="550"/>
      <c r="H6" s="534"/>
      <c r="I6" s="552"/>
      <c r="J6" s="564"/>
      <c r="K6" s="273"/>
    </row>
    <row r="7" spans="1:13" ht="15.75" thickBot="1">
      <c r="A7" s="508"/>
      <c r="B7" s="488"/>
      <c r="C7" s="510"/>
      <c r="D7" s="484"/>
      <c r="E7" s="486"/>
      <c r="F7" s="551"/>
      <c r="G7" s="297"/>
      <c r="H7" s="534"/>
      <c r="I7" s="553"/>
      <c r="J7" s="555"/>
      <c r="K7" s="364"/>
    </row>
    <row r="8" spans="1:13">
      <c r="A8" s="205">
        <v>1</v>
      </c>
      <c r="B8" s="206" t="s">
        <v>702</v>
      </c>
      <c r="C8" s="207" t="s">
        <v>355</v>
      </c>
      <c r="D8" s="304">
        <f>5+5</f>
        <v>10</v>
      </c>
      <c r="E8" s="305">
        <f>451+805</f>
        <v>1256</v>
      </c>
      <c r="F8" s="208" t="s">
        <v>354</v>
      </c>
      <c r="G8" s="297"/>
      <c r="H8" s="357"/>
      <c r="I8" s="356"/>
      <c r="J8" s="273"/>
      <c r="K8" s="273"/>
    </row>
    <row r="9" spans="1:13" s="1" customFormat="1">
      <c r="A9" s="205">
        <v>2</v>
      </c>
      <c r="B9" s="206" t="s">
        <v>777</v>
      </c>
      <c r="C9" s="207" t="s">
        <v>355</v>
      </c>
      <c r="D9" s="304">
        <v>1</v>
      </c>
      <c r="E9" s="305">
        <v>114</v>
      </c>
      <c r="F9" s="208" t="s">
        <v>354</v>
      </c>
      <c r="G9" s="297"/>
      <c r="H9" s="357"/>
      <c r="I9" s="356"/>
      <c r="J9" s="365"/>
      <c r="K9" s="273"/>
    </row>
    <row r="10" spans="1:13" s="1" customFormat="1">
      <c r="A10" s="205">
        <v>3</v>
      </c>
      <c r="B10" s="206" t="s">
        <v>748</v>
      </c>
      <c r="C10" s="207" t="s">
        <v>355</v>
      </c>
      <c r="D10" s="304">
        <v>1</v>
      </c>
      <c r="E10" s="305">
        <v>196</v>
      </c>
      <c r="F10" s="208" t="s">
        <v>354</v>
      </c>
      <c r="G10" s="297"/>
      <c r="H10" s="357"/>
      <c r="I10" s="356"/>
      <c r="J10" s="365"/>
      <c r="K10" s="273"/>
    </row>
    <row r="11" spans="1:13" s="1" customFormat="1">
      <c r="A11" s="205">
        <v>4</v>
      </c>
      <c r="B11" s="206" t="s">
        <v>749</v>
      </c>
      <c r="C11" s="207" t="s">
        <v>355</v>
      </c>
      <c r="D11" s="304">
        <v>1</v>
      </c>
      <c r="E11" s="305">
        <v>197.28</v>
      </c>
      <c r="F11" s="208" t="s">
        <v>354</v>
      </c>
      <c r="G11" s="297"/>
      <c r="H11" s="357"/>
      <c r="I11" s="356"/>
      <c r="J11" s="365"/>
      <c r="K11" s="273"/>
    </row>
    <row r="12" spans="1:13" s="1" customFormat="1">
      <c r="A12" s="205">
        <v>5</v>
      </c>
      <c r="B12" s="206" t="s">
        <v>595</v>
      </c>
      <c r="C12" s="207" t="s">
        <v>353</v>
      </c>
      <c r="D12" s="304">
        <v>1</v>
      </c>
      <c r="E12" s="305">
        <v>185.14</v>
      </c>
      <c r="F12" s="208" t="s">
        <v>354</v>
      </c>
      <c r="G12" s="283"/>
      <c r="H12" s="357"/>
      <c r="I12" s="356"/>
      <c r="J12" s="273"/>
      <c r="K12" s="273"/>
    </row>
    <row r="13" spans="1:13" s="1" customFormat="1">
      <c r="A13" s="205">
        <v>6</v>
      </c>
      <c r="B13" s="206" t="s">
        <v>619</v>
      </c>
      <c r="C13" s="207" t="s">
        <v>353</v>
      </c>
      <c r="D13" s="304">
        <v>1</v>
      </c>
      <c r="E13" s="305">
        <v>371.18</v>
      </c>
      <c r="F13" s="208" t="s">
        <v>354</v>
      </c>
      <c r="G13" s="283"/>
      <c r="H13" s="357"/>
      <c r="I13" s="356"/>
      <c r="J13" s="273"/>
      <c r="K13" s="273"/>
    </row>
    <row r="14" spans="1:13" s="1" customFormat="1">
      <c r="A14" s="205">
        <v>7</v>
      </c>
      <c r="B14" s="206" t="s">
        <v>680</v>
      </c>
      <c r="C14" s="207" t="s">
        <v>353</v>
      </c>
      <c r="D14" s="304">
        <v>1</v>
      </c>
      <c r="E14" s="305">
        <v>259.49</v>
      </c>
      <c r="F14" s="208" t="s">
        <v>354</v>
      </c>
      <c r="G14" s="283"/>
      <c r="H14" s="357"/>
      <c r="I14" s="356"/>
      <c r="J14" s="273"/>
      <c r="K14" s="273"/>
      <c r="L14" s="273"/>
    </row>
    <row r="15" spans="1:13" s="1" customFormat="1">
      <c r="A15" s="205">
        <v>8</v>
      </c>
      <c r="B15" s="206" t="s">
        <v>687</v>
      </c>
      <c r="C15" s="207" t="s">
        <v>355</v>
      </c>
      <c r="D15" s="304">
        <v>4</v>
      </c>
      <c r="E15" s="305">
        <v>479.96</v>
      </c>
      <c r="F15" s="277" t="s">
        <v>688</v>
      </c>
      <c r="G15" s="284"/>
      <c r="H15" s="357"/>
      <c r="I15" s="356"/>
      <c r="J15" s="273"/>
      <c r="K15" s="364"/>
      <c r="L15" s="273"/>
      <c r="M15" s="194"/>
    </row>
    <row r="16" spans="1:13" s="1" customFormat="1">
      <c r="A16" s="205">
        <v>9</v>
      </c>
      <c r="B16" s="206" t="s">
        <v>683</v>
      </c>
      <c r="C16" s="207" t="s">
        <v>355</v>
      </c>
      <c r="D16" s="304">
        <v>1</v>
      </c>
      <c r="E16" s="305">
        <v>450</v>
      </c>
      <c r="F16" s="208" t="s">
        <v>354</v>
      </c>
      <c r="G16" s="283"/>
      <c r="H16" s="357"/>
      <c r="I16" s="356"/>
      <c r="J16" s="273"/>
      <c r="K16" s="273"/>
    </row>
    <row r="17" spans="1:11" s="1" customFormat="1" ht="25.5">
      <c r="A17" s="205">
        <v>10</v>
      </c>
      <c r="B17" s="231" t="s">
        <v>682</v>
      </c>
      <c r="C17" s="279" t="s">
        <v>353</v>
      </c>
      <c r="D17" s="121">
        <v>2</v>
      </c>
      <c r="E17" s="315">
        <v>760</v>
      </c>
      <c r="F17" s="208" t="s">
        <v>354</v>
      </c>
      <c r="G17" s="285"/>
      <c r="H17" s="366"/>
      <c r="I17" s="361"/>
      <c r="J17" s="360"/>
      <c r="K17" s="273"/>
    </row>
    <row r="18" spans="1:11">
      <c r="A18" s="205">
        <v>11</v>
      </c>
      <c r="B18" s="206" t="s">
        <v>614</v>
      </c>
      <c r="C18" s="207" t="s">
        <v>353</v>
      </c>
      <c r="D18" s="304">
        <v>3</v>
      </c>
      <c r="E18" s="305">
        <v>323.79000000000002</v>
      </c>
      <c r="F18" s="208" t="s">
        <v>354</v>
      </c>
      <c r="G18" s="283"/>
      <c r="H18" s="357"/>
      <c r="I18" s="356"/>
      <c r="J18" s="273"/>
      <c r="K18" s="273"/>
    </row>
    <row r="19" spans="1:11">
      <c r="A19" s="205">
        <v>12</v>
      </c>
      <c r="B19" s="206" t="s">
        <v>736</v>
      </c>
      <c r="C19" s="207" t="s">
        <v>353</v>
      </c>
      <c r="D19" s="304">
        <v>24</v>
      </c>
      <c r="E19" s="305">
        <f>(461.28*0.2)+461.28</f>
        <v>553.53599999999994</v>
      </c>
      <c r="F19" s="208" t="s">
        <v>732</v>
      </c>
      <c r="G19" s="283"/>
      <c r="H19" s="357"/>
      <c r="I19" s="356"/>
      <c r="J19" s="367"/>
      <c r="K19" s="273"/>
    </row>
    <row r="20" spans="1:11">
      <c r="A20" s="205">
        <v>13</v>
      </c>
      <c r="B20" s="206" t="s">
        <v>534</v>
      </c>
      <c r="C20" s="207" t="s">
        <v>355</v>
      </c>
      <c r="D20" s="304">
        <f>1</f>
        <v>1</v>
      </c>
      <c r="E20" s="305">
        <f>284.65</f>
        <v>284.64999999999998</v>
      </c>
      <c r="F20" s="208" t="s">
        <v>354</v>
      </c>
      <c r="G20" s="283"/>
      <c r="H20" s="357"/>
      <c r="I20" s="356"/>
      <c r="J20" s="273"/>
      <c r="K20" s="273"/>
    </row>
    <row r="21" spans="1:11" s="1" customFormat="1">
      <c r="A21" s="205">
        <v>14</v>
      </c>
      <c r="B21" s="206" t="s">
        <v>592</v>
      </c>
      <c r="C21" s="207" t="s">
        <v>353</v>
      </c>
      <c r="D21" s="304">
        <v>1</v>
      </c>
      <c r="E21" s="305">
        <v>174.89</v>
      </c>
      <c r="F21" s="208" t="s">
        <v>354</v>
      </c>
      <c r="G21" s="283"/>
      <c r="H21" s="357"/>
      <c r="I21" s="356"/>
      <c r="J21" s="273"/>
      <c r="K21" s="273"/>
    </row>
    <row r="22" spans="1:11" s="1" customFormat="1">
      <c r="A22" s="205">
        <v>15</v>
      </c>
      <c r="B22" s="206" t="s">
        <v>692</v>
      </c>
      <c r="C22" s="207" t="s">
        <v>353</v>
      </c>
      <c r="D22" s="304">
        <v>1</v>
      </c>
      <c r="E22" s="305">
        <f>348.27+6.79</f>
        <v>355.06</v>
      </c>
      <c r="F22" s="208" t="s">
        <v>354</v>
      </c>
      <c r="G22" s="283"/>
      <c r="H22" s="357"/>
      <c r="I22" s="356"/>
      <c r="J22" s="273"/>
      <c r="K22" s="364"/>
    </row>
    <row r="23" spans="1:11" s="1" customFormat="1">
      <c r="A23" s="205">
        <v>16</v>
      </c>
      <c r="B23" s="206" t="s">
        <v>455</v>
      </c>
      <c r="C23" s="207" t="s">
        <v>353</v>
      </c>
      <c r="D23" s="304">
        <f>1+1</f>
        <v>2</v>
      </c>
      <c r="E23" s="305">
        <f>399.07+492.12</f>
        <v>891.19</v>
      </c>
      <c r="F23" s="208" t="s">
        <v>354</v>
      </c>
      <c r="G23" s="283"/>
      <c r="H23" s="357"/>
      <c r="I23" s="356"/>
      <c r="J23" s="273"/>
      <c r="K23" s="273"/>
    </row>
    <row r="24" spans="1:11" s="1" customFormat="1">
      <c r="A24" s="205">
        <v>17</v>
      </c>
      <c r="B24" s="206" t="s">
        <v>654</v>
      </c>
      <c r="C24" s="207" t="s">
        <v>353</v>
      </c>
      <c r="D24" s="304">
        <v>1</v>
      </c>
      <c r="E24" s="305">
        <v>353.49</v>
      </c>
      <c r="F24" s="208" t="s">
        <v>354</v>
      </c>
      <c r="G24" s="283"/>
      <c r="H24" s="357"/>
      <c r="I24" s="356"/>
      <c r="J24" s="273"/>
      <c r="K24" s="273"/>
    </row>
    <row r="25" spans="1:11">
      <c r="A25" s="205">
        <v>18</v>
      </c>
      <c r="B25" s="206" t="s">
        <v>356</v>
      </c>
      <c r="C25" s="207" t="s">
        <v>353</v>
      </c>
      <c r="D25" s="304">
        <f>3+3</f>
        <v>6</v>
      </c>
      <c r="E25" s="305">
        <f>329.22+351.57</f>
        <v>680.79</v>
      </c>
      <c r="F25" s="208" t="s">
        <v>354</v>
      </c>
      <c r="G25" s="283"/>
      <c r="H25" s="357"/>
      <c r="I25" s="356"/>
      <c r="J25" s="273"/>
      <c r="K25" s="273"/>
    </row>
    <row r="26" spans="1:11">
      <c r="A26" s="205">
        <v>19</v>
      </c>
      <c r="B26" s="206" t="s">
        <v>734</v>
      </c>
      <c r="C26" s="207" t="s">
        <v>353</v>
      </c>
      <c r="D26" s="304">
        <f>24</f>
        <v>24</v>
      </c>
      <c r="E26" s="305">
        <f>(116.4*0.2)+116.4</f>
        <v>139.68</v>
      </c>
      <c r="F26" s="208" t="s">
        <v>732</v>
      </c>
      <c r="G26" s="283"/>
      <c r="H26" s="357"/>
      <c r="I26" s="356"/>
      <c r="J26" s="367"/>
      <c r="K26" s="273"/>
    </row>
    <row r="27" spans="1:11" s="1" customFormat="1">
      <c r="A27" s="205">
        <v>20</v>
      </c>
      <c r="B27" s="206" t="s">
        <v>456</v>
      </c>
      <c r="C27" s="207" t="s">
        <v>355</v>
      </c>
      <c r="D27" s="304">
        <v>2</v>
      </c>
      <c r="E27" s="305">
        <v>273.42</v>
      </c>
      <c r="F27" s="208" t="s">
        <v>354</v>
      </c>
      <c r="G27" s="283"/>
      <c r="H27" s="357"/>
      <c r="I27" s="356"/>
      <c r="J27" s="273"/>
      <c r="K27" s="273"/>
    </row>
    <row r="28" spans="1:11">
      <c r="A28" s="205">
        <v>21</v>
      </c>
      <c r="B28" s="206" t="s">
        <v>604</v>
      </c>
      <c r="C28" s="207" t="s">
        <v>353</v>
      </c>
      <c r="D28" s="304">
        <v>1</v>
      </c>
      <c r="E28" s="305">
        <v>529.17999999999995</v>
      </c>
      <c r="F28" s="208" t="s">
        <v>354</v>
      </c>
      <c r="G28" s="283"/>
      <c r="H28" s="357"/>
      <c r="I28" s="356"/>
      <c r="J28" s="273"/>
      <c r="K28" s="273"/>
    </row>
    <row r="29" spans="1:11" s="1" customFormat="1">
      <c r="A29" s="205">
        <v>22</v>
      </c>
      <c r="B29" s="206" t="s">
        <v>559</v>
      </c>
      <c r="C29" s="207" t="s">
        <v>353</v>
      </c>
      <c r="D29" s="304">
        <v>1</v>
      </c>
      <c r="E29" s="305">
        <f>641.83+1.86</f>
        <v>643.69000000000005</v>
      </c>
      <c r="F29" s="208" t="s">
        <v>354</v>
      </c>
      <c r="G29" s="283"/>
      <c r="H29" s="357"/>
      <c r="I29" s="356"/>
      <c r="J29" s="273"/>
      <c r="K29" s="273"/>
    </row>
    <row r="30" spans="1:11" s="1" customFormat="1">
      <c r="A30" s="205">
        <v>23</v>
      </c>
      <c r="B30" s="206" t="s">
        <v>695</v>
      </c>
      <c r="C30" s="207" t="s">
        <v>353</v>
      </c>
      <c r="D30" s="304">
        <v>1</v>
      </c>
      <c r="E30" s="305">
        <v>280</v>
      </c>
      <c r="F30" s="208" t="s">
        <v>354</v>
      </c>
      <c r="G30" s="283"/>
      <c r="H30" s="357"/>
      <c r="I30" s="356"/>
      <c r="J30" s="273"/>
      <c r="K30" s="273"/>
    </row>
    <row r="31" spans="1:11" s="1" customFormat="1">
      <c r="A31" s="205">
        <v>24</v>
      </c>
      <c r="B31" s="206" t="s">
        <v>696</v>
      </c>
      <c r="C31" s="207" t="s">
        <v>353</v>
      </c>
      <c r="D31" s="304">
        <v>1</v>
      </c>
      <c r="E31" s="305">
        <v>210</v>
      </c>
      <c r="F31" s="208" t="s">
        <v>354</v>
      </c>
      <c r="G31" s="283"/>
      <c r="H31" s="357"/>
      <c r="I31" s="356"/>
      <c r="J31" s="273"/>
      <c r="K31" s="273"/>
    </row>
    <row r="32" spans="1:11" s="1" customFormat="1">
      <c r="A32" s="205">
        <v>25</v>
      </c>
      <c r="B32" s="206" t="s">
        <v>458</v>
      </c>
      <c r="C32" s="207" t="s">
        <v>353</v>
      </c>
      <c r="D32" s="304">
        <v>2</v>
      </c>
      <c r="E32" s="305">
        <f>326.45+327.38+6.51</f>
        <v>660.33999999999992</v>
      </c>
      <c r="F32" s="208" t="s">
        <v>354</v>
      </c>
      <c r="G32" s="283"/>
      <c r="H32" s="357"/>
      <c r="I32" s="356"/>
      <c r="J32" s="273"/>
      <c r="K32" s="273"/>
    </row>
    <row r="33" spans="1:13">
      <c r="A33" s="205">
        <v>26</v>
      </c>
      <c r="B33" s="206" t="s">
        <v>357</v>
      </c>
      <c r="C33" s="207" t="s">
        <v>353</v>
      </c>
      <c r="D33" s="304">
        <v>1</v>
      </c>
      <c r="E33" s="305">
        <v>243.72</v>
      </c>
      <c r="F33" s="208" t="s">
        <v>354</v>
      </c>
      <c r="G33" s="283"/>
      <c r="H33" s="357"/>
      <c r="I33" s="356"/>
      <c r="J33" s="273"/>
      <c r="K33" s="273"/>
    </row>
    <row r="34" spans="1:13">
      <c r="A34" s="205">
        <v>27</v>
      </c>
      <c r="B34" s="206" t="s">
        <v>637</v>
      </c>
      <c r="C34" s="207" t="s">
        <v>353</v>
      </c>
      <c r="D34" s="304">
        <f>2</f>
        <v>2</v>
      </c>
      <c r="E34" s="305">
        <f>81.88</f>
        <v>81.88</v>
      </c>
      <c r="F34" s="208" t="s">
        <v>354</v>
      </c>
      <c r="G34" s="283"/>
      <c r="H34" s="357"/>
      <c r="I34" s="356"/>
      <c r="J34" s="273"/>
      <c r="K34" s="273"/>
    </row>
    <row r="35" spans="1:13" s="1" customFormat="1">
      <c r="A35" s="205">
        <v>28</v>
      </c>
      <c r="B35" s="206" t="s">
        <v>648</v>
      </c>
      <c r="C35" s="207" t="s">
        <v>353</v>
      </c>
      <c r="D35" s="304">
        <f>2+1</f>
        <v>3</v>
      </c>
      <c r="E35" s="305">
        <f>117.28+58.59+6.51</f>
        <v>182.38</v>
      </c>
      <c r="F35" s="208" t="s">
        <v>354</v>
      </c>
      <c r="G35" s="283"/>
      <c r="H35" s="357"/>
      <c r="I35" s="356"/>
      <c r="J35" s="273"/>
      <c r="K35" s="273"/>
    </row>
    <row r="36" spans="1:13" s="1" customFormat="1">
      <c r="A36" s="205">
        <v>29</v>
      </c>
      <c r="B36" s="206" t="s">
        <v>673</v>
      </c>
      <c r="C36" s="207" t="s">
        <v>353</v>
      </c>
      <c r="D36" s="304">
        <v>1</v>
      </c>
      <c r="E36" s="305">
        <v>312</v>
      </c>
      <c r="F36" s="208" t="s">
        <v>354</v>
      </c>
      <c r="G36" s="283"/>
      <c r="H36" s="357"/>
      <c r="I36" s="356"/>
      <c r="J36" s="273"/>
      <c r="K36" s="273"/>
      <c r="L36" s="67"/>
    </row>
    <row r="37" spans="1:13">
      <c r="A37" s="205">
        <v>30</v>
      </c>
      <c r="B37" s="206" t="s">
        <v>733</v>
      </c>
      <c r="C37" s="207" t="s">
        <v>353</v>
      </c>
      <c r="D37" s="304">
        <v>3</v>
      </c>
      <c r="E37" s="305">
        <f>(15471*0.2)+15471</f>
        <v>18565.2</v>
      </c>
      <c r="F37" s="208" t="s">
        <v>732</v>
      </c>
      <c r="G37" s="283"/>
      <c r="H37" s="357"/>
      <c r="I37" s="356"/>
      <c r="J37" s="367"/>
      <c r="K37" s="273"/>
    </row>
    <row r="38" spans="1:13">
      <c r="A38" s="205">
        <v>31</v>
      </c>
      <c r="B38" s="206" t="s">
        <v>358</v>
      </c>
      <c r="C38" s="207" t="s">
        <v>353</v>
      </c>
      <c r="D38" s="304">
        <f>2</f>
        <v>2</v>
      </c>
      <c r="E38" s="305">
        <f>180.46</f>
        <v>180.46</v>
      </c>
      <c r="F38" s="208" t="s">
        <v>354</v>
      </c>
      <c r="G38" s="283"/>
      <c r="H38" s="357"/>
      <c r="I38" s="356"/>
      <c r="J38" s="273"/>
      <c r="K38" s="273"/>
    </row>
    <row r="39" spans="1:13" s="1" customFormat="1">
      <c r="A39" s="205">
        <v>32</v>
      </c>
      <c r="B39" s="206" t="s">
        <v>743</v>
      </c>
      <c r="C39" s="207" t="s">
        <v>353</v>
      </c>
      <c r="D39" s="304">
        <v>10</v>
      </c>
      <c r="E39" s="305">
        <v>180</v>
      </c>
      <c r="F39" s="208" t="s">
        <v>354</v>
      </c>
      <c r="G39" s="283"/>
      <c r="H39" s="357"/>
      <c r="I39" s="356"/>
      <c r="J39" s="365"/>
      <c r="K39" s="273"/>
    </row>
    <row r="40" spans="1:13">
      <c r="A40" s="205">
        <v>33</v>
      </c>
      <c r="B40" s="206" t="s">
        <v>651</v>
      </c>
      <c r="C40" s="207" t="s">
        <v>353</v>
      </c>
      <c r="D40" s="304">
        <v>1</v>
      </c>
      <c r="E40" s="305">
        <v>1301.1600000000001</v>
      </c>
      <c r="F40" s="208" t="s">
        <v>354</v>
      </c>
      <c r="G40" s="283"/>
      <c r="H40" s="357"/>
      <c r="I40" s="356"/>
      <c r="J40" s="273"/>
      <c r="K40" s="273"/>
    </row>
    <row r="41" spans="1:13">
      <c r="A41" s="205">
        <v>34</v>
      </c>
      <c r="B41" s="206" t="s">
        <v>459</v>
      </c>
      <c r="C41" s="207" t="s">
        <v>353</v>
      </c>
      <c r="D41" s="304">
        <f>3+1</f>
        <v>4</v>
      </c>
      <c r="E41" s="305">
        <f>1057.68+364.22</f>
        <v>1421.9</v>
      </c>
      <c r="F41" s="278" t="s">
        <v>354</v>
      </c>
      <c r="G41" s="286"/>
      <c r="H41" s="357"/>
      <c r="I41" s="356"/>
      <c r="J41" s="273"/>
      <c r="K41" s="273"/>
    </row>
    <row r="42" spans="1:13" s="1" customFormat="1">
      <c r="A42" s="205">
        <v>35</v>
      </c>
      <c r="B42" s="206" t="s">
        <v>460</v>
      </c>
      <c r="C42" s="207" t="s">
        <v>353</v>
      </c>
      <c r="D42" s="304">
        <v>1</v>
      </c>
      <c r="E42" s="305">
        <v>325.77999999999997</v>
      </c>
      <c r="F42" s="278" t="s">
        <v>354</v>
      </c>
      <c r="G42" s="286"/>
      <c r="H42" s="357"/>
      <c r="I42" s="356"/>
      <c r="J42" s="273"/>
      <c r="K42" s="273"/>
    </row>
    <row r="43" spans="1:13" s="1" customFormat="1">
      <c r="A43" s="205">
        <v>36</v>
      </c>
      <c r="B43" s="206" t="s">
        <v>550</v>
      </c>
      <c r="C43" s="207" t="s">
        <v>353</v>
      </c>
      <c r="D43" s="304">
        <f>1+1</f>
        <v>2</v>
      </c>
      <c r="E43" s="305">
        <f>278.37+399.07</f>
        <v>677.44</v>
      </c>
      <c r="F43" s="278" t="s">
        <v>354</v>
      </c>
      <c r="G43" s="286"/>
      <c r="H43" s="357"/>
      <c r="I43" s="356"/>
      <c r="J43" s="273"/>
      <c r="K43" s="273"/>
    </row>
    <row r="44" spans="1:13">
      <c r="A44" s="205">
        <v>37</v>
      </c>
      <c r="B44" s="206" t="s">
        <v>359</v>
      </c>
      <c r="C44" s="207" t="s">
        <v>353</v>
      </c>
      <c r="D44" s="304">
        <f>1+1+1</f>
        <v>3</v>
      </c>
      <c r="E44" s="305">
        <f>306.29+399.07+594.41</f>
        <v>1299.77</v>
      </c>
      <c r="F44" s="278" t="s">
        <v>354</v>
      </c>
      <c r="G44" s="286"/>
      <c r="H44" s="357"/>
      <c r="I44" s="356"/>
      <c r="J44" s="356"/>
      <c r="K44" s="273"/>
    </row>
    <row r="45" spans="1:13">
      <c r="A45" s="205">
        <v>38</v>
      </c>
      <c r="B45" s="206" t="s">
        <v>538</v>
      </c>
      <c r="C45" s="209" t="s">
        <v>353</v>
      </c>
      <c r="D45" s="304">
        <f>5+10</f>
        <v>15</v>
      </c>
      <c r="E45" s="305">
        <f>95+140</f>
        <v>235</v>
      </c>
      <c r="F45" s="278" t="s">
        <v>354</v>
      </c>
      <c r="G45" s="286"/>
      <c r="H45" s="357"/>
      <c r="I45" s="356"/>
      <c r="J45" s="273"/>
      <c r="K45" s="356"/>
      <c r="M45" s="67"/>
    </row>
    <row r="46" spans="1:13">
      <c r="A46" s="205">
        <v>39</v>
      </c>
      <c r="B46" s="206" t="s">
        <v>360</v>
      </c>
      <c r="C46" s="207" t="s">
        <v>353</v>
      </c>
      <c r="D46" s="304"/>
      <c r="E46" s="305"/>
      <c r="F46" s="208" t="s">
        <v>354</v>
      </c>
      <c r="G46" s="283"/>
      <c r="H46" s="357"/>
      <c r="I46" s="356"/>
      <c r="J46" s="273"/>
      <c r="K46" s="273"/>
    </row>
    <row r="47" spans="1:13" s="1" customFormat="1">
      <c r="A47" s="205">
        <v>40</v>
      </c>
      <c r="B47" s="206" t="s">
        <v>558</v>
      </c>
      <c r="C47" s="207" t="s">
        <v>355</v>
      </c>
      <c r="D47" s="304">
        <v>2</v>
      </c>
      <c r="E47" s="305">
        <v>248</v>
      </c>
      <c r="F47" s="208" t="s">
        <v>354</v>
      </c>
      <c r="G47" s="283"/>
      <c r="H47" s="357"/>
      <c r="I47" s="356"/>
      <c r="J47" s="273"/>
      <c r="K47" s="273"/>
    </row>
    <row r="48" spans="1:13" s="1" customFormat="1" ht="25.5">
      <c r="A48" s="354">
        <v>41</v>
      </c>
      <c r="B48" s="316" t="s">
        <v>726</v>
      </c>
      <c r="C48" s="279" t="s">
        <v>355</v>
      </c>
      <c r="D48" s="121">
        <v>1</v>
      </c>
      <c r="E48" s="315">
        <v>1808</v>
      </c>
      <c r="F48" s="211" t="s">
        <v>354</v>
      </c>
      <c r="G48" s="283"/>
      <c r="H48" s="357"/>
      <c r="I48" s="356"/>
      <c r="J48" s="368"/>
      <c r="K48" s="273"/>
    </row>
    <row r="49" spans="1:13" s="1" customFormat="1" ht="25.5">
      <c r="A49" s="354">
        <v>42</v>
      </c>
      <c r="B49" s="316" t="s">
        <v>727</v>
      </c>
      <c r="C49" s="279" t="s">
        <v>355</v>
      </c>
      <c r="D49" s="121">
        <v>1</v>
      </c>
      <c r="E49" s="315">
        <v>2048</v>
      </c>
      <c r="F49" s="211" t="s">
        <v>354</v>
      </c>
      <c r="G49" s="283"/>
      <c r="H49" s="357"/>
      <c r="I49" s="356"/>
      <c r="J49" s="368"/>
      <c r="K49" s="364"/>
      <c r="L49" s="67"/>
      <c r="M49" s="194"/>
    </row>
    <row r="50" spans="1:13" s="1" customFormat="1">
      <c r="A50" s="205">
        <v>43</v>
      </c>
      <c r="B50" s="206" t="s">
        <v>653</v>
      </c>
      <c r="C50" s="321" t="s">
        <v>355</v>
      </c>
      <c r="D50" s="304">
        <v>1</v>
      </c>
      <c r="E50" s="305">
        <v>807.45</v>
      </c>
      <c r="F50" s="208" t="s">
        <v>354</v>
      </c>
      <c r="G50" s="286"/>
      <c r="H50" s="357"/>
      <c r="I50" s="356"/>
      <c r="J50" s="273"/>
      <c r="K50" s="273"/>
    </row>
    <row r="51" spans="1:13" s="1" customFormat="1">
      <c r="A51" s="205">
        <v>44</v>
      </c>
      <c r="B51" s="206" t="s">
        <v>462</v>
      </c>
      <c r="C51" s="207" t="s">
        <v>353</v>
      </c>
      <c r="D51" s="304">
        <f>2+2+1+1</f>
        <v>6</v>
      </c>
      <c r="E51" s="305">
        <f>1404.34+1404.34+384.1+468.76+6.51</f>
        <v>3668.05</v>
      </c>
      <c r="F51" s="208" t="s">
        <v>354</v>
      </c>
      <c r="G51" s="283"/>
      <c r="H51" s="357"/>
      <c r="I51" s="356"/>
      <c r="J51" s="273"/>
      <c r="K51" s="273"/>
    </row>
    <row r="52" spans="1:13" s="1" customFormat="1">
      <c r="A52" s="205">
        <v>45</v>
      </c>
      <c r="B52" s="206" t="s">
        <v>361</v>
      </c>
      <c r="C52" s="207" t="s">
        <v>353</v>
      </c>
      <c r="D52" s="304">
        <f>6+2+1</f>
        <v>9</v>
      </c>
      <c r="E52" s="305">
        <f>1311.9+437.26+204.68</f>
        <v>1953.8400000000001</v>
      </c>
      <c r="F52" s="208" t="s">
        <v>354</v>
      </c>
      <c r="G52" s="283"/>
      <c r="H52" s="357"/>
      <c r="I52" s="356"/>
      <c r="J52" s="273"/>
      <c r="K52" s="273"/>
    </row>
    <row r="53" spans="1:13">
      <c r="A53" s="205">
        <v>46</v>
      </c>
      <c r="B53" s="206" t="s">
        <v>463</v>
      </c>
      <c r="C53" s="207" t="s">
        <v>353</v>
      </c>
      <c r="D53" s="304">
        <f>2+2+1+3+5</f>
        <v>13</v>
      </c>
      <c r="E53" s="305">
        <f>55.82+74.42+82.79+259.56+181.4+6.51</f>
        <v>660.5</v>
      </c>
      <c r="F53" s="208" t="s">
        <v>354</v>
      </c>
      <c r="G53" s="283"/>
      <c r="H53" s="357"/>
      <c r="I53" s="356"/>
      <c r="J53" s="273"/>
      <c r="K53" s="273"/>
    </row>
    <row r="54" spans="1:13">
      <c r="A54" s="205">
        <v>47</v>
      </c>
      <c r="B54" s="206" t="s">
        <v>578</v>
      </c>
      <c r="C54" s="207" t="s">
        <v>353</v>
      </c>
      <c r="D54" s="304">
        <v>1</v>
      </c>
      <c r="E54" s="305">
        <v>56</v>
      </c>
      <c r="F54" s="208" t="s">
        <v>354</v>
      </c>
      <c r="G54" s="283"/>
      <c r="H54" s="357"/>
      <c r="I54" s="356"/>
      <c r="J54" s="273"/>
      <c r="K54" s="273"/>
    </row>
    <row r="55" spans="1:13" s="1" customFormat="1">
      <c r="A55" s="205">
        <v>48</v>
      </c>
      <c r="B55" s="206" t="s">
        <v>362</v>
      </c>
      <c r="C55" s="207" t="s">
        <v>353</v>
      </c>
      <c r="D55" s="304">
        <v>2</v>
      </c>
      <c r="E55" s="305">
        <v>79.98</v>
      </c>
      <c r="F55" s="208" t="s">
        <v>354</v>
      </c>
      <c r="G55" s="283"/>
      <c r="H55" s="357"/>
      <c r="I55" s="356"/>
      <c r="J55" s="273"/>
      <c r="K55" s="273"/>
    </row>
    <row r="56" spans="1:13" s="1" customFormat="1">
      <c r="A56" s="205">
        <v>49</v>
      </c>
      <c r="B56" s="206" t="s">
        <v>603</v>
      </c>
      <c r="C56" s="207" t="s">
        <v>353</v>
      </c>
      <c r="D56" s="303">
        <f>2+1</f>
        <v>3</v>
      </c>
      <c r="E56" s="309">
        <f>519.06+259.53+6.51</f>
        <v>785.09999999999991</v>
      </c>
      <c r="F56" s="208" t="s">
        <v>354</v>
      </c>
      <c r="G56" s="286"/>
      <c r="H56" s="358"/>
      <c r="I56" s="359"/>
      <c r="J56" s="273"/>
      <c r="K56" s="273"/>
    </row>
    <row r="57" spans="1:13">
      <c r="A57" s="205">
        <v>50</v>
      </c>
      <c r="B57" s="206" t="s">
        <v>363</v>
      </c>
      <c r="C57" s="207" t="s">
        <v>353</v>
      </c>
      <c r="D57" s="304">
        <f>3+10+3</f>
        <v>16</v>
      </c>
      <c r="E57" s="305">
        <f>460.59+1023.1+13.02+273.96</f>
        <v>1770.67</v>
      </c>
      <c r="F57" s="208" t="s">
        <v>354</v>
      </c>
      <c r="G57" s="283"/>
      <c r="H57" s="357"/>
      <c r="I57" s="356"/>
      <c r="J57" s="273"/>
      <c r="K57" s="273"/>
      <c r="L57" s="1"/>
    </row>
    <row r="58" spans="1:13">
      <c r="A58" s="205">
        <v>51</v>
      </c>
      <c r="B58" s="206" t="s">
        <v>601</v>
      </c>
      <c r="C58" s="207" t="s">
        <v>353</v>
      </c>
      <c r="D58" s="304">
        <v>1</v>
      </c>
      <c r="E58" s="305">
        <v>575.71</v>
      </c>
      <c r="F58" s="208" t="s">
        <v>354</v>
      </c>
      <c r="G58" s="283"/>
      <c r="H58" s="357"/>
      <c r="I58" s="356"/>
      <c r="J58" s="273"/>
      <c r="K58" s="273"/>
    </row>
    <row r="59" spans="1:13">
      <c r="A59" s="205">
        <v>52</v>
      </c>
      <c r="B59" s="206" t="s">
        <v>778</v>
      </c>
      <c r="C59" s="207" t="s">
        <v>353</v>
      </c>
      <c r="D59" s="304">
        <v>5</v>
      </c>
      <c r="E59" s="305">
        <f>995+5</f>
        <v>1000</v>
      </c>
      <c r="F59" s="208" t="s">
        <v>354</v>
      </c>
      <c r="G59" s="283"/>
      <c r="H59" s="357"/>
      <c r="I59" s="356"/>
      <c r="J59" s="273"/>
      <c r="K59" s="273"/>
      <c r="L59" s="1"/>
    </row>
    <row r="60" spans="1:13" s="1" customFormat="1">
      <c r="A60" s="205">
        <v>53</v>
      </c>
      <c r="B60" s="206" t="s">
        <v>634</v>
      </c>
      <c r="C60" s="207" t="s">
        <v>465</v>
      </c>
      <c r="D60" s="304">
        <v>2</v>
      </c>
      <c r="E60" s="305">
        <f>2992.96+6.52</f>
        <v>2999.48</v>
      </c>
      <c r="F60" s="208" t="s">
        <v>354</v>
      </c>
      <c r="G60" s="283"/>
      <c r="H60" s="357"/>
      <c r="I60" s="356"/>
      <c r="J60" s="273"/>
      <c r="K60" s="273"/>
    </row>
    <row r="61" spans="1:13" s="1" customFormat="1" ht="25.5">
      <c r="A61" s="354">
        <v>54</v>
      </c>
      <c r="B61" s="316" t="s">
        <v>674</v>
      </c>
      <c r="C61" s="279" t="s">
        <v>465</v>
      </c>
      <c r="D61" s="121">
        <v>1</v>
      </c>
      <c r="E61" s="315">
        <v>2900</v>
      </c>
      <c r="F61" s="211" t="s">
        <v>354</v>
      </c>
      <c r="G61" s="283"/>
      <c r="H61" s="366"/>
      <c r="I61" s="361"/>
      <c r="J61" s="360"/>
      <c r="K61" s="273"/>
    </row>
    <row r="62" spans="1:13" s="1" customFormat="1">
      <c r="A62" s="205">
        <v>55</v>
      </c>
      <c r="B62" s="206" t="s">
        <v>466</v>
      </c>
      <c r="C62" s="207" t="s">
        <v>353</v>
      </c>
      <c r="D62" s="304">
        <f>14</f>
        <v>14</v>
      </c>
      <c r="E62" s="305">
        <v>2758</v>
      </c>
      <c r="F62" s="208" t="s">
        <v>354</v>
      </c>
      <c r="G62" s="283"/>
      <c r="H62" s="357"/>
      <c r="I62" s="356"/>
      <c r="J62" s="369"/>
      <c r="K62" s="273"/>
    </row>
    <row r="63" spans="1:13">
      <c r="A63" s="205">
        <v>56</v>
      </c>
      <c r="B63" s="206" t="s">
        <v>467</v>
      </c>
      <c r="C63" s="207" t="s">
        <v>353</v>
      </c>
      <c r="D63" s="304"/>
      <c r="E63" s="305"/>
      <c r="F63" s="278" t="s">
        <v>354</v>
      </c>
      <c r="G63" s="286"/>
      <c r="H63" s="357"/>
      <c r="I63" s="356"/>
      <c r="J63" s="273"/>
      <c r="K63" s="273"/>
    </row>
    <row r="64" spans="1:13">
      <c r="A64" s="205">
        <v>57</v>
      </c>
      <c r="B64" s="206" t="s">
        <v>546</v>
      </c>
      <c r="C64" s="207" t="s">
        <v>353</v>
      </c>
      <c r="D64" s="304">
        <f>6+10+10+2+10+10+10+5+1+1</f>
        <v>65</v>
      </c>
      <c r="E64" s="305">
        <f>1824.72+4064.3+660.3+608.24+130.2+74.4+46.5+55.8+11.16+306.91</f>
        <v>7782.53</v>
      </c>
      <c r="F64" s="278" t="s">
        <v>354</v>
      </c>
      <c r="G64" s="286"/>
      <c r="H64" s="357"/>
      <c r="I64" s="356"/>
      <c r="J64" s="273"/>
      <c r="K64" s="273"/>
    </row>
    <row r="65" spans="1:11" s="1" customFormat="1">
      <c r="A65" s="205">
        <v>58</v>
      </c>
      <c r="B65" s="206" t="s">
        <v>468</v>
      </c>
      <c r="C65" s="207" t="s">
        <v>353</v>
      </c>
      <c r="D65" s="304">
        <f>2+1+1</f>
        <v>4</v>
      </c>
      <c r="E65" s="305">
        <f>1114.18+916.11+709.62+336.66</f>
        <v>3076.5699999999997</v>
      </c>
      <c r="F65" s="278" t="s">
        <v>354</v>
      </c>
      <c r="G65" s="286"/>
      <c r="H65" s="357"/>
      <c r="I65" s="356"/>
      <c r="J65" s="273"/>
      <c r="K65" s="356"/>
    </row>
    <row r="66" spans="1:11" s="1" customFormat="1">
      <c r="A66" s="205">
        <v>59</v>
      </c>
      <c r="B66" s="206" t="s">
        <v>469</v>
      </c>
      <c r="C66" s="207" t="s">
        <v>353</v>
      </c>
      <c r="D66" s="304">
        <v>2</v>
      </c>
      <c r="E66" s="305">
        <v>1116.04</v>
      </c>
      <c r="F66" s="278" t="s">
        <v>354</v>
      </c>
      <c r="G66" s="283"/>
      <c r="H66" s="357"/>
      <c r="I66" s="356"/>
      <c r="J66" s="273"/>
      <c r="K66" s="273"/>
    </row>
    <row r="67" spans="1:11" s="1" customFormat="1">
      <c r="A67" s="205">
        <v>60</v>
      </c>
      <c r="B67" s="206" t="s">
        <v>470</v>
      </c>
      <c r="C67" s="207" t="s">
        <v>353</v>
      </c>
      <c r="D67" s="304">
        <v>1</v>
      </c>
      <c r="E67" s="305">
        <v>145.08000000000001</v>
      </c>
      <c r="F67" s="278" t="s">
        <v>354</v>
      </c>
      <c r="G67" s="283"/>
      <c r="H67" s="357"/>
      <c r="I67" s="356"/>
      <c r="J67" s="273"/>
      <c r="K67" s="273"/>
    </row>
    <row r="68" spans="1:11" s="1" customFormat="1">
      <c r="A68" s="205">
        <v>61</v>
      </c>
      <c r="B68" s="206" t="s">
        <v>471</v>
      </c>
      <c r="C68" s="207" t="s">
        <v>353</v>
      </c>
      <c r="D68" s="304">
        <v>1</v>
      </c>
      <c r="E68" s="305">
        <f>193.49+6.51</f>
        <v>200</v>
      </c>
      <c r="F68" s="278" t="s">
        <v>354</v>
      </c>
      <c r="G68" s="283"/>
      <c r="H68" s="357"/>
      <c r="I68" s="356"/>
      <c r="J68" s="273"/>
      <c r="K68" s="273"/>
    </row>
    <row r="69" spans="1:11" s="1" customFormat="1">
      <c r="A69" s="205">
        <v>62</v>
      </c>
      <c r="B69" s="206" t="s">
        <v>472</v>
      </c>
      <c r="C69" s="207" t="s">
        <v>355</v>
      </c>
      <c r="D69" s="304">
        <v>1</v>
      </c>
      <c r="E69" s="305">
        <v>441.86</v>
      </c>
      <c r="F69" s="278" t="s">
        <v>354</v>
      </c>
      <c r="G69" s="283"/>
      <c r="H69" s="357"/>
      <c r="I69" s="356"/>
      <c r="J69" s="273"/>
      <c r="K69" s="273"/>
    </row>
    <row r="70" spans="1:11" s="1" customFormat="1">
      <c r="A70" s="205">
        <v>63</v>
      </c>
      <c r="B70" s="206" t="s">
        <v>583</v>
      </c>
      <c r="C70" s="207" t="s">
        <v>353</v>
      </c>
      <c r="D70" s="304">
        <v>6</v>
      </c>
      <c r="E70" s="305">
        <v>3050</v>
      </c>
      <c r="F70" s="278" t="s">
        <v>354</v>
      </c>
      <c r="G70" s="283"/>
      <c r="H70" s="357"/>
      <c r="I70" s="356"/>
      <c r="J70" s="273"/>
      <c r="K70" s="273"/>
    </row>
    <row r="71" spans="1:11" s="1" customFormat="1">
      <c r="A71" s="205">
        <v>64</v>
      </c>
      <c r="B71" s="206" t="s">
        <v>549</v>
      </c>
      <c r="C71" s="207" t="s">
        <v>353</v>
      </c>
      <c r="D71" s="304">
        <f>2</f>
        <v>2</v>
      </c>
      <c r="E71" s="305">
        <v>119.06</v>
      </c>
      <c r="F71" s="278" t="s">
        <v>354</v>
      </c>
      <c r="G71" s="283"/>
      <c r="H71" s="357"/>
      <c r="I71" s="356"/>
      <c r="J71" s="273"/>
      <c r="K71" s="273"/>
    </row>
    <row r="72" spans="1:11" s="1" customFormat="1">
      <c r="A72" s="205">
        <v>65</v>
      </c>
      <c r="B72" s="206" t="s">
        <v>581</v>
      </c>
      <c r="C72" s="207" t="s">
        <v>353</v>
      </c>
      <c r="D72" s="304">
        <f>6+1</f>
        <v>7</v>
      </c>
      <c r="E72" s="305">
        <f>630.6+71.64</f>
        <v>702.24</v>
      </c>
      <c r="F72" s="278" t="s">
        <v>354</v>
      </c>
      <c r="G72" s="283"/>
      <c r="H72" s="357"/>
      <c r="I72" s="356"/>
      <c r="J72" s="273"/>
      <c r="K72" s="273"/>
    </row>
    <row r="73" spans="1:11" s="1" customFormat="1">
      <c r="A73" s="205">
        <v>66</v>
      </c>
      <c r="B73" s="206" t="s">
        <v>385</v>
      </c>
      <c r="C73" s="207" t="s">
        <v>353</v>
      </c>
      <c r="D73" s="304">
        <v>1</v>
      </c>
      <c r="E73" s="305">
        <v>225.07</v>
      </c>
      <c r="F73" s="278" t="s">
        <v>354</v>
      </c>
      <c r="G73" s="283"/>
      <c r="H73" s="357"/>
      <c r="I73" s="356"/>
      <c r="J73" s="273"/>
      <c r="K73" s="273"/>
    </row>
    <row r="74" spans="1:11" s="1" customFormat="1">
      <c r="A74" s="205">
        <v>67</v>
      </c>
      <c r="B74" s="206" t="s">
        <v>473</v>
      </c>
      <c r="C74" s="207" t="s">
        <v>353</v>
      </c>
      <c r="D74" s="304">
        <f>1+2</f>
        <v>3</v>
      </c>
      <c r="E74" s="305">
        <f>1003.52+2304.6+11.16</f>
        <v>3319.2799999999997</v>
      </c>
      <c r="F74" s="278" t="s">
        <v>354</v>
      </c>
      <c r="G74" s="283"/>
      <c r="H74" s="357"/>
      <c r="I74" s="356"/>
      <c r="J74" s="273"/>
      <c r="K74" s="273"/>
    </row>
    <row r="75" spans="1:11" s="1" customFormat="1">
      <c r="A75" s="205">
        <v>68</v>
      </c>
      <c r="B75" s="206" t="s">
        <v>579</v>
      </c>
      <c r="C75" s="207" t="s">
        <v>353</v>
      </c>
      <c r="D75" s="304">
        <v>1</v>
      </c>
      <c r="E75" s="305">
        <v>600</v>
      </c>
      <c r="F75" s="278" t="s">
        <v>354</v>
      </c>
      <c r="G75" s="283"/>
      <c r="H75" s="357"/>
      <c r="I75" s="356"/>
      <c r="J75" s="273"/>
      <c r="K75" s="273"/>
    </row>
    <row r="76" spans="1:11" s="1" customFormat="1">
      <c r="A76" s="205">
        <v>69</v>
      </c>
      <c r="B76" s="206" t="s">
        <v>652</v>
      </c>
      <c r="C76" s="207" t="s">
        <v>353</v>
      </c>
      <c r="D76" s="304">
        <v>2</v>
      </c>
      <c r="E76" s="305">
        <v>498.5</v>
      </c>
      <c r="F76" s="278" t="s">
        <v>354</v>
      </c>
      <c r="G76" s="283"/>
      <c r="H76" s="357"/>
      <c r="I76" s="356"/>
      <c r="J76" s="273"/>
      <c r="K76" s="273"/>
    </row>
    <row r="77" spans="1:11" s="1" customFormat="1">
      <c r="A77" s="205">
        <v>70</v>
      </c>
      <c r="B77" s="206" t="s">
        <v>474</v>
      </c>
      <c r="C77" s="207" t="s">
        <v>353</v>
      </c>
      <c r="D77" s="304">
        <v>3</v>
      </c>
      <c r="E77" s="305">
        <v>532.95000000000005</v>
      </c>
      <c r="F77" s="278" t="s">
        <v>354</v>
      </c>
      <c r="G77" s="283"/>
      <c r="H77" s="357"/>
      <c r="I77" s="356"/>
      <c r="J77" s="273"/>
      <c r="K77" s="273"/>
    </row>
    <row r="78" spans="1:11" s="1" customFormat="1">
      <c r="A78" s="205">
        <v>71</v>
      </c>
      <c r="B78" s="206" t="s">
        <v>475</v>
      </c>
      <c r="C78" s="207" t="s">
        <v>353</v>
      </c>
      <c r="D78" s="304">
        <v>2</v>
      </c>
      <c r="E78" s="305">
        <f>693+110.7</f>
        <v>803.7</v>
      </c>
      <c r="F78" s="278" t="s">
        <v>354</v>
      </c>
      <c r="G78" s="283"/>
      <c r="H78" s="357"/>
      <c r="I78" s="356"/>
      <c r="J78" s="273"/>
      <c r="K78" s="273"/>
    </row>
    <row r="79" spans="1:11" s="1" customFormat="1">
      <c r="A79" s="205">
        <v>72</v>
      </c>
      <c r="B79" s="206" t="s">
        <v>476</v>
      </c>
      <c r="C79" s="207" t="s">
        <v>353</v>
      </c>
      <c r="D79" s="304">
        <v>1</v>
      </c>
      <c r="E79" s="305">
        <v>269.72000000000003</v>
      </c>
      <c r="F79" s="278" t="s">
        <v>354</v>
      </c>
      <c r="G79" s="286"/>
      <c r="H79" s="357"/>
      <c r="I79" s="356"/>
      <c r="J79" s="273"/>
      <c r="K79" s="273"/>
    </row>
    <row r="80" spans="1:11">
      <c r="A80" s="205">
        <v>73</v>
      </c>
      <c r="B80" s="206" t="s">
        <v>477</v>
      </c>
      <c r="C80" s="207" t="s">
        <v>353</v>
      </c>
      <c r="D80" s="304">
        <v>5</v>
      </c>
      <c r="E80" s="305">
        <v>181.35</v>
      </c>
      <c r="F80" s="208" t="s">
        <v>354</v>
      </c>
      <c r="G80" s="283"/>
      <c r="H80" s="357"/>
      <c r="I80" s="356"/>
      <c r="J80" s="273"/>
      <c r="K80" s="273"/>
    </row>
    <row r="81" spans="1:12" s="1" customFormat="1">
      <c r="A81" s="205">
        <v>74</v>
      </c>
      <c r="B81" s="206" t="s">
        <v>600</v>
      </c>
      <c r="C81" s="207" t="s">
        <v>353</v>
      </c>
      <c r="D81" s="304">
        <v>1</v>
      </c>
      <c r="E81" s="305">
        <v>119.98</v>
      </c>
      <c r="F81" s="208" t="s">
        <v>354</v>
      </c>
      <c r="G81" s="283"/>
      <c r="H81" s="357"/>
      <c r="I81" s="356"/>
      <c r="J81" s="273"/>
      <c r="K81" s="273"/>
    </row>
    <row r="82" spans="1:12" ht="25.5">
      <c r="A82" s="205">
        <v>75</v>
      </c>
      <c r="B82" s="231" t="s">
        <v>658</v>
      </c>
      <c r="C82" s="279" t="s">
        <v>353</v>
      </c>
      <c r="D82" s="121">
        <v>1</v>
      </c>
      <c r="E82" s="315">
        <v>3357</v>
      </c>
      <c r="F82" s="211" t="s">
        <v>354</v>
      </c>
      <c r="G82" s="285"/>
      <c r="H82" s="366"/>
      <c r="I82" s="361"/>
      <c r="J82" s="360"/>
      <c r="K82" s="273"/>
      <c r="L82" s="1"/>
    </row>
    <row r="83" spans="1:12" s="1" customFormat="1">
      <c r="A83" s="205">
        <v>76</v>
      </c>
      <c r="B83" s="206" t="s">
        <v>478</v>
      </c>
      <c r="C83" s="207" t="s">
        <v>353</v>
      </c>
      <c r="D83" s="304">
        <f>2+1+1+4+2+1</f>
        <v>11</v>
      </c>
      <c r="E83" s="305">
        <f>417.61+473.41+171.21+154.43+6.51+1056.56+446.44+13.02+148.86+11.16</f>
        <v>2899.21</v>
      </c>
      <c r="F83" s="211" t="s">
        <v>354</v>
      </c>
      <c r="G83" s="283"/>
      <c r="H83" s="357"/>
      <c r="I83" s="356"/>
      <c r="J83" s="356"/>
      <c r="K83" s="273"/>
    </row>
    <row r="84" spans="1:12" s="1" customFormat="1">
      <c r="A84" s="205">
        <v>77</v>
      </c>
      <c r="B84" s="206" t="s">
        <v>479</v>
      </c>
      <c r="C84" s="207" t="s">
        <v>353</v>
      </c>
      <c r="D84" s="304">
        <v>1</v>
      </c>
      <c r="E84" s="305">
        <v>372.03</v>
      </c>
      <c r="F84" s="211" t="s">
        <v>354</v>
      </c>
      <c r="G84" s="283"/>
      <c r="H84" s="357"/>
      <c r="I84" s="356"/>
      <c r="J84" s="273"/>
      <c r="K84" s="273"/>
    </row>
    <row r="85" spans="1:12" s="1" customFormat="1">
      <c r="A85" s="205">
        <v>78</v>
      </c>
      <c r="B85" s="206" t="s">
        <v>480</v>
      </c>
      <c r="C85" s="207" t="s">
        <v>353</v>
      </c>
      <c r="D85" s="304">
        <v>2</v>
      </c>
      <c r="E85" s="305">
        <v>370.16</v>
      </c>
      <c r="F85" s="211" t="s">
        <v>354</v>
      </c>
      <c r="G85" s="283"/>
      <c r="H85" s="357"/>
      <c r="I85" s="356"/>
      <c r="J85" s="273"/>
      <c r="K85" s="273"/>
    </row>
    <row r="86" spans="1:12">
      <c r="A86" s="205">
        <v>79</v>
      </c>
      <c r="B86" s="206" t="s">
        <v>737</v>
      </c>
      <c r="C86" s="207" t="s">
        <v>353</v>
      </c>
      <c r="D86" s="304">
        <v>6</v>
      </c>
      <c r="E86" s="305">
        <f>(67.74*0.2)+67.74</f>
        <v>81.287999999999997</v>
      </c>
      <c r="F86" s="208" t="s">
        <v>732</v>
      </c>
      <c r="G86" s="283"/>
      <c r="H86" s="357"/>
      <c r="I86" s="356"/>
      <c r="J86" s="367"/>
      <c r="K86" s="273"/>
    </row>
    <row r="87" spans="1:12">
      <c r="A87" s="205">
        <v>80</v>
      </c>
      <c r="B87" s="206" t="s">
        <v>364</v>
      </c>
      <c r="C87" s="207" t="s">
        <v>353</v>
      </c>
      <c r="D87" s="304">
        <f>3+3+5+1+1+2+2</f>
        <v>17</v>
      </c>
      <c r="E87" s="305">
        <f>50.22+53.01+153.5+36.26+72.54+90.2</f>
        <v>455.73</v>
      </c>
      <c r="F87" s="208" t="s">
        <v>354</v>
      </c>
      <c r="G87" s="283"/>
      <c r="H87" s="357"/>
      <c r="I87" s="356"/>
      <c r="J87" s="273"/>
      <c r="K87" s="356"/>
    </row>
    <row r="88" spans="1:12" s="1" customFormat="1">
      <c r="A88" s="205">
        <v>81</v>
      </c>
      <c r="B88" s="206" t="s">
        <v>633</v>
      </c>
      <c r="C88" s="207" t="s">
        <v>353</v>
      </c>
      <c r="D88" s="304">
        <f>2+2+2+2</f>
        <v>8</v>
      </c>
      <c r="E88" s="305">
        <f>89.28+72.54+78.12+79.98</f>
        <v>319.92</v>
      </c>
      <c r="F88" s="208" t="s">
        <v>354</v>
      </c>
      <c r="G88" s="283"/>
      <c r="H88" s="357"/>
      <c r="I88" s="356"/>
      <c r="J88" s="273"/>
      <c r="K88" s="273"/>
    </row>
    <row r="89" spans="1:12">
      <c r="A89" s="205">
        <v>82</v>
      </c>
      <c r="B89" s="206" t="s">
        <v>365</v>
      </c>
      <c r="C89" s="207" t="s">
        <v>353</v>
      </c>
      <c r="D89" s="304">
        <v>4</v>
      </c>
      <c r="E89" s="305">
        <v>677.08</v>
      </c>
      <c r="F89" s="208" t="s">
        <v>526</v>
      </c>
      <c r="G89" s="283"/>
      <c r="H89" s="357"/>
      <c r="I89" s="356"/>
      <c r="J89" s="273"/>
      <c r="K89" s="273"/>
    </row>
    <row r="90" spans="1:12" s="1" customFormat="1">
      <c r="A90" s="205">
        <v>83</v>
      </c>
      <c r="B90" s="206" t="s">
        <v>643</v>
      </c>
      <c r="C90" s="207" t="s">
        <v>353</v>
      </c>
      <c r="D90" s="304">
        <v>2</v>
      </c>
      <c r="E90" s="305">
        <v>12096</v>
      </c>
      <c r="F90" s="276" t="s">
        <v>644</v>
      </c>
      <c r="G90" s="287"/>
      <c r="H90" s="357"/>
      <c r="I90" s="356"/>
      <c r="J90" s="273"/>
      <c r="K90" s="273"/>
    </row>
    <row r="91" spans="1:12">
      <c r="A91" s="205">
        <v>84</v>
      </c>
      <c r="B91" s="206" t="s">
        <v>366</v>
      </c>
      <c r="C91" s="207" t="s">
        <v>353</v>
      </c>
      <c r="D91" s="304">
        <v>1</v>
      </c>
      <c r="E91" s="305">
        <v>287.41000000000003</v>
      </c>
      <c r="F91" s="208" t="s">
        <v>354</v>
      </c>
      <c r="G91" s="283"/>
      <c r="H91" s="357"/>
      <c r="I91" s="356"/>
      <c r="J91" s="273"/>
      <c r="K91" s="273"/>
    </row>
    <row r="92" spans="1:12" s="1" customFormat="1">
      <c r="A92" s="205">
        <v>85</v>
      </c>
      <c r="B92" s="206" t="s">
        <v>482</v>
      </c>
      <c r="C92" s="207" t="s">
        <v>355</v>
      </c>
      <c r="D92" s="304">
        <v>1</v>
      </c>
      <c r="E92" s="305">
        <v>169</v>
      </c>
      <c r="F92" s="208" t="s">
        <v>354</v>
      </c>
      <c r="G92" s="283"/>
      <c r="H92" s="357"/>
      <c r="I92" s="356"/>
      <c r="J92" s="273"/>
      <c r="K92" s="273"/>
    </row>
    <row r="93" spans="1:12">
      <c r="A93" s="205">
        <v>86</v>
      </c>
      <c r="B93" s="206" t="s">
        <v>367</v>
      </c>
      <c r="C93" s="207" t="s">
        <v>353</v>
      </c>
      <c r="D93" s="304">
        <f>3+3+1+3</f>
        <v>10</v>
      </c>
      <c r="E93" s="305">
        <f>309.72+376.65+371.26+368.31</f>
        <v>1425.94</v>
      </c>
      <c r="F93" s="208" t="s">
        <v>354</v>
      </c>
      <c r="G93" s="283"/>
      <c r="H93" s="357"/>
      <c r="I93" s="356"/>
      <c r="J93" s="273"/>
      <c r="K93" s="273"/>
    </row>
    <row r="94" spans="1:12" s="1" customFormat="1">
      <c r="A94" s="205">
        <v>87</v>
      </c>
      <c r="B94" s="206" t="s">
        <v>670</v>
      </c>
      <c r="C94" s="207" t="s">
        <v>353</v>
      </c>
      <c r="D94" s="304">
        <v>2</v>
      </c>
      <c r="E94" s="305">
        <v>333.02</v>
      </c>
      <c r="F94" s="208" t="s">
        <v>354</v>
      </c>
      <c r="G94" s="283"/>
      <c r="H94" s="357"/>
      <c r="I94" s="356"/>
      <c r="J94" s="273"/>
      <c r="K94" s="273"/>
    </row>
    <row r="95" spans="1:12">
      <c r="A95" s="205">
        <v>88</v>
      </c>
      <c r="B95" s="206" t="s">
        <v>580</v>
      </c>
      <c r="C95" s="207" t="s">
        <v>355</v>
      </c>
      <c r="D95" s="304">
        <v>1</v>
      </c>
      <c r="E95" s="305">
        <v>361.85</v>
      </c>
      <c r="F95" s="208" t="s">
        <v>354</v>
      </c>
      <c r="G95" s="283"/>
      <c r="H95" s="357"/>
      <c r="I95" s="356"/>
      <c r="J95" s="273"/>
      <c r="K95" s="273"/>
    </row>
    <row r="96" spans="1:12">
      <c r="A96" s="205">
        <v>89</v>
      </c>
      <c r="B96" s="206" t="s">
        <v>649</v>
      </c>
      <c r="C96" s="207" t="s">
        <v>353</v>
      </c>
      <c r="D96" s="304">
        <v>2</v>
      </c>
      <c r="E96" s="305">
        <v>232.72</v>
      </c>
      <c r="F96" s="208" t="s">
        <v>354</v>
      </c>
      <c r="G96" s="283"/>
      <c r="H96" s="357"/>
      <c r="I96" s="356"/>
      <c r="J96" s="273"/>
      <c r="K96" s="273"/>
    </row>
    <row r="97" spans="1:14" s="1" customFormat="1" ht="25.5">
      <c r="A97" s="354">
        <v>90</v>
      </c>
      <c r="B97" s="316" t="s">
        <v>612</v>
      </c>
      <c r="C97" s="279" t="s">
        <v>353</v>
      </c>
      <c r="D97" s="121">
        <v>1</v>
      </c>
      <c r="E97" s="315">
        <v>604</v>
      </c>
      <c r="F97" s="211" t="s">
        <v>354</v>
      </c>
      <c r="G97" s="283"/>
      <c r="H97" s="366"/>
      <c r="I97" s="361"/>
      <c r="J97" s="360"/>
      <c r="K97" s="273"/>
    </row>
    <row r="98" spans="1:14" s="1" customFormat="1">
      <c r="A98" s="205">
        <v>91</v>
      </c>
      <c r="B98" s="218" t="s">
        <v>606</v>
      </c>
      <c r="C98" s="319" t="s">
        <v>353</v>
      </c>
      <c r="D98" s="304">
        <v>1</v>
      </c>
      <c r="E98" s="305">
        <v>302.26</v>
      </c>
      <c r="F98" s="208" t="s">
        <v>354</v>
      </c>
      <c r="G98" s="283"/>
      <c r="H98" s="357"/>
      <c r="I98" s="356"/>
      <c r="J98" s="273"/>
      <c r="K98" s="273"/>
    </row>
    <row r="99" spans="1:14">
      <c r="A99" s="205">
        <v>92</v>
      </c>
      <c r="B99" s="206" t="s">
        <v>485</v>
      </c>
      <c r="C99" s="207" t="s">
        <v>353</v>
      </c>
      <c r="D99" s="304">
        <v>2</v>
      </c>
      <c r="E99" s="305">
        <v>675.2</v>
      </c>
      <c r="F99" s="208" t="s">
        <v>354</v>
      </c>
      <c r="G99" s="283"/>
      <c r="H99" s="357"/>
      <c r="I99" s="356"/>
      <c r="J99" s="273"/>
      <c r="K99" s="273"/>
    </row>
    <row r="100" spans="1:14" s="1" customFormat="1">
      <c r="A100" s="205">
        <v>93</v>
      </c>
      <c r="B100" s="206" t="s">
        <v>487</v>
      </c>
      <c r="C100" s="207" t="s">
        <v>353</v>
      </c>
      <c r="D100" s="304">
        <f>1+1</f>
        <v>2</v>
      </c>
      <c r="E100" s="305">
        <f>134.85+160.93</f>
        <v>295.77999999999997</v>
      </c>
      <c r="F100" s="208" t="s">
        <v>354</v>
      </c>
      <c r="G100" s="283"/>
      <c r="H100" s="357"/>
      <c r="I100" s="356"/>
      <c r="J100" s="273"/>
      <c r="K100" s="273"/>
    </row>
    <row r="101" spans="1:14" s="1" customFormat="1">
      <c r="A101" s="205">
        <v>94</v>
      </c>
      <c r="B101" s="206" t="s">
        <v>686</v>
      </c>
      <c r="C101" s="207" t="s">
        <v>355</v>
      </c>
      <c r="D101" s="304">
        <v>2</v>
      </c>
      <c r="E101" s="320">
        <v>231</v>
      </c>
      <c r="F101" s="208" t="s">
        <v>354</v>
      </c>
      <c r="G101" s="283"/>
      <c r="H101" s="357"/>
      <c r="I101" s="370"/>
      <c r="J101" s="273"/>
      <c r="K101" s="273"/>
    </row>
    <row r="102" spans="1:14" s="1" customFormat="1">
      <c r="A102" s="205">
        <v>95</v>
      </c>
      <c r="B102" s="206" t="s">
        <v>632</v>
      </c>
      <c r="C102" s="207" t="s">
        <v>353</v>
      </c>
      <c r="D102" s="304">
        <f>3</f>
        <v>3</v>
      </c>
      <c r="E102" s="305">
        <f>72.54</f>
        <v>72.540000000000006</v>
      </c>
      <c r="F102" s="208" t="s">
        <v>354</v>
      </c>
      <c r="G102" s="286"/>
      <c r="H102" s="357"/>
      <c r="I102" s="356"/>
      <c r="J102" s="273"/>
      <c r="K102" s="273"/>
    </row>
    <row r="103" spans="1:14" s="1" customFormat="1">
      <c r="A103" s="205">
        <v>96</v>
      </c>
      <c r="B103" s="206" t="s">
        <v>655</v>
      </c>
      <c r="C103" s="207" t="s">
        <v>353</v>
      </c>
      <c r="D103" s="304">
        <f>4+2+3+3</f>
        <v>12</v>
      </c>
      <c r="E103" s="305">
        <f>1036.04+191.6+343.29+281.79</f>
        <v>1852.7199999999998</v>
      </c>
      <c r="F103" s="208" t="s">
        <v>354</v>
      </c>
      <c r="G103" s="283"/>
      <c r="H103" s="357"/>
      <c r="I103" s="356"/>
      <c r="J103" s="273"/>
      <c r="K103" s="273"/>
    </row>
    <row r="104" spans="1:14">
      <c r="A104" s="205">
        <v>97</v>
      </c>
      <c r="B104" s="206" t="s">
        <v>545</v>
      </c>
      <c r="C104" s="207" t="s">
        <v>353</v>
      </c>
      <c r="D104" s="304">
        <f>10+10</f>
        <v>20</v>
      </c>
      <c r="E104" s="305">
        <f>223.2+65.1</f>
        <v>288.29999999999995</v>
      </c>
      <c r="F104" s="208" t="s">
        <v>354</v>
      </c>
      <c r="G104" s="283"/>
      <c r="H104" s="357"/>
      <c r="I104" s="356"/>
      <c r="J104" s="273"/>
      <c r="K104" s="273"/>
      <c r="L104" s="194"/>
      <c r="N104" s="194"/>
    </row>
    <row r="105" spans="1:14" s="1" customFormat="1">
      <c r="A105" s="205">
        <v>98</v>
      </c>
      <c r="B105" s="206" t="s">
        <v>609</v>
      </c>
      <c r="C105" s="207" t="s">
        <v>353</v>
      </c>
      <c r="D105" s="304">
        <f>1+1</f>
        <v>2</v>
      </c>
      <c r="E105" s="305">
        <f>281.85+321.85</f>
        <v>603.70000000000005</v>
      </c>
      <c r="F105" s="208" t="s">
        <v>354</v>
      </c>
      <c r="G105" s="283"/>
      <c r="H105" s="357"/>
      <c r="I105" s="356"/>
      <c r="J105" s="273"/>
      <c r="K105" s="273"/>
    </row>
    <row r="106" spans="1:14" s="1" customFormat="1">
      <c r="A106" s="205">
        <v>99</v>
      </c>
      <c r="B106" s="206" t="s">
        <v>488</v>
      </c>
      <c r="C106" s="207" t="s">
        <v>353</v>
      </c>
      <c r="D106" s="304">
        <f>2+2+1</f>
        <v>5</v>
      </c>
      <c r="E106" s="305">
        <f>68.82+30.69+29.76</f>
        <v>129.26999999999998</v>
      </c>
      <c r="F106" s="208" t="s">
        <v>354</v>
      </c>
      <c r="G106" s="283"/>
      <c r="H106" s="357"/>
      <c r="I106" s="356"/>
      <c r="J106" s="273"/>
      <c r="K106" s="273"/>
    </row>
    <row r="107" spans="1:14" s="1" customFormat="1" ht="25.5">
      <c r="A107" s="354">
        <v>101</v>
      </c>
      <c r="B107" s="316" t="s">
        <v>675</v>
      </c>
      <c r="C107" s="279" t="s">
        <v>353</v>
      </c>
      <c r="D107" s="121">
        <v>5</v>
      </c>
      <c r="E107" s="315">
        <v>3250</v>
      </c>
      <c r="F107" s="211" t="s">
        <v>707</v>
      </c>
      <c r="G107" s="285"/>
      <c r="H107" s="366"/>
      <c r="I107" s="361"/>
      <c r="J107" s="360"/>
      <c r="K107" s="273"/>
    </row>
    <row r="108" spans="1:14" s="1" customFormat="1">
      <c r="A108" s="205">
        <v>102</v>
      </c>
      <c r="B108" s="206" t="s">
        <v>636</v>
      </c>
      <c r="C108" s="207" t="s">
        <v>353</v>
      </c>
      <c r="D108" s="304">
        <v>1</v>
      </c>
      <c r="E108" s="305">
        <f>275.38+6.51</f>
        <v>281.89</v>
      </c>
      <c r="F108" s="208" t="s">
        <v>354</v>
      </c>
      <c r="G108" s="283"/>
      <c r="H108" s="357"/>
      <c r="I108" s="356"/>
      <c r="J108" s="273"/>
      <c r="K108" s="273"/>
    </row>
    <row r="109" spans="1:14" s="1" customFormat="1">
      <c r="A109" s="205">
        <v>103</v>
      </c>
      <c r="B109" s="206" t="s">
        <v>520</v>
      </c>
      <c r="C109" s="207" t="s">
        <v>353</v>
      </c>
      <c r="D109" s="304">
        <f>1+1</f>
        <v>2</v>
      </c>
      <c r="E109" s="305">
        <f>400+475</f>
        <v>875</v>
      </c>
      <c r="F109" s="208" t="s">
        <v>354</v>
      </c>
      <c r="G109" s="283"/>
      <c r="H109" s="357"/>
      <c r="I109" s="356"/>
      <c r="J109" s="273"/>
      <c r="K109" s="273"/>
    </row>
    <row r="110" spans="1:14">
      <c r="A110" s="205">
        <v>104</v>
      </c>
      <c r="B110" s="206" t="s">
        <v>552</v>
      </c>
      <c r="C110" s="207" t="s">
        <v>353</v>
      </c>
      <c r="D110" s="304">
        <v>2</v>
      </c>
      <c r="E110" s="305">
        <v>230.68</v>
      </c>
      <c r="F110" s="208" t="s">
        <v>354</v>
      </c>
      <c r="G110" s="308"/>
      <c r="H110" s="357"/>
      <c r="I110" s="356"/>
      <c r="J110" s="273"/>
      <c r="K110" s="273"/>
    </row>
    <row r="111" spans="1:14" s="1" customFormat="1">
      <c r="A111" s="205">
        <v>105</v>
      </c>
      <c r="B111" s="206" t="s">
        <v>594</v>
      </c>
      <c r="C111" s="207" t="s">
        <v>353</v>
      </c>
      <c r="D111" s="304">
        <f>2+1</f>
        <v>3</v>
      </c>
      <c r="E111" s="305">
        <f>129.32+258.64</f>
        <v>387.96</v>
      </c>
      <c r="F111" s="208" t="s">
        <v>354</v>
      </c>
      <c r="G111" s="286"/>
      <c r="H111" s="357"/>
      <c r="I111" s="356"/>
      <c r="J111" s="273"/>
      <c r="K111" s="273"/>
    </row>
    <row r="112" spans="1:14" s="1" customFormat="1">
      <c r="A112" s="205">
        <v>106</v>
      </c>
      <c r="B112" s="206" t="s">
        <v>668</v>
      </c>
      <c r="C112" s="207" t="s">
        <v>353</v>
      </c>
      <c r="D112" s="304">
        <v>3</v>
      </c>
      <c r="E112" s="305">
        <f>3*52</f>
        <v>156</v>
      </c>
      <c r="F112" s="208" t="s">
        <v>354</v>
      </c>
      <c r="G112" s="286"/>
      <c r="H112" s="357"/>
      <c r="I112" s="356"/>
      <c r="J112" s="273"/>
      <c r="K112" s="364"/>
    </row>
    <row r="113" spans="1:11">
      <c r="A113" s="205">
        <v>107</v>
      </c>
      <c r="B113" s="206" t="s">
        <v>735</v>
      </c>
      <c r="C113" s="207" t="s">
        <v>353</v>
      </c>
      <c r="D113" s="304">
        <v>48</v>
      </c>
      <c r="E113" s="305">
        <f>(76.32*0.2)+76.32</f>
        <v>91.583999999999989</v>
      </c>
      <c r="F113" s="208" t="s">
        <v>732</v>
      </c>
      <c r="G113" s="283"/>
      <c r="H113" s="357"/>
      <c r="I113" s="356"/>
      <c r="J113" s="367"/>
      <c r="K113" s="273"/>
    </row>
    <row r="114" spans="1:11" s="1" customFormat="1">
      <c r="A114" s="205">
        <v>108</v>
      </c>
      <c r="B114" s="206" t="s">
        <v>489</v>
      </c>
      <c r="C114" s="207" t="s">
        <v>353</v>
      </c>
      <c r="D114" s="304">
        <v>10</v>
      </c>
      <c r="E114" s="305">
        <f>362.7</f>
        <v>362.7</v>
      </c>
      <c r="F114" s="208" t="s">
        <v>354</v>
      </c>
      <c r="G114" s="283"/>
      <c r="H114" s="357"/>
      <c r="I114" s="356"/>
      <c r="J114" s="273"/>
      <c r="K114" s="273"/>
    </row>
    <row r="115" spans="1:11" s="1" customFormat="1">
      <c r="A115" s="213">
        <v>109</v>
      </c>
      <c r="B115" s="216" t="s">
        <v>593</v>
      </c>
      <c r="C115" s="207" t="s">
        <v>353</v>
      </c>
      <c r="D115" s="304">
        <v>1</v>
      </c>
      <c r="E115" s="305">
        <v>376.83</v>
      </c>
      <c r="F115" s="208" t="s">
        <v>354</v>
      </c>
      <c r="G115" s="283"/>
      <c r="H115" s="357"/>
      <c r="I115" s="356"/>
      <c r="J115" s="273"/>
      <c r="K115" s="273"/>
    </row>
    <row r="116" spans="1:11" s="1" customFormat="1">
      <c r="A116" s="213">
        <v>110</v>
      </c>
      <c r="B116" s="216" t="s">
        <v>605</v>
      </c>
      <c r="C116" s="207" t="s">
        <v>353</v>
      </c>
      <c r="D116" s="304">
        <v>1</v>
      </c>
      <c r="E116" s="305">
        <v>1133.74</v>
      </c>
      <c r="F116" s="208" t="s">
        <v>354</v>
      </c>
      <c r="G116" s="283"/>
      <c r="H116" s="357"/>
      <c r="I116" s="356"/>
      <c r="J116" s="273"/>
      <c r="K116" s="273"/>
    </row>
    <row r="117" spans="1:11" s="1" customFormat="1">
      <c r="A117" s="213"/>
      <c r="B117" s="216"/>
      <c r="C117" s="207"/>
      <c r="D117" s="304"/>
      <c r="E117" s="305"/>
      <c r="F117" s="208"/>
      <c r="G117" s="283"/>
      <c r="H117" s="357"/>
      <c r="I117" s="356"/>
      <c r="J117" s="273"/>
      <c r="K117" s="273"/>
    </row>
    <row r="118" spans="1:11" s="1" customFormat="1">
      <c r="A118" s="213">
        <v>111</v>
      </c>
      <c r="B118" s="206" t="s">
        <v>464</v>
      </c>
      <c r="C118" s="207" t="s">
        <v>353</v>
      </c>
      <c r="D118" s="304">
        <v>133</v>
      </c>
      <c r="E118" s="305">
        <v>73150</v>
      </c>
      <c r="F118" s="208" t="s">
        <v>765</v>
      </c>
      <c r="G118" s="283"/>
      <c r="H118" s="357"/>
      <c r="I118" s="356"/>
      <c r="J118" s="273"/>
      <c r="K118" s="273"/>
    </row>
    <row r="119" spans="1:11" s="1" customFormat="1">
      <c r="A119" s="213">
        <v>112</v>
      </c>
      <c r="B119" s="206" t="s">
        <v>751</v>
      </c>
      <c r="C119" s="209" t="s">
        <v>353</v>
      </c>
      <c r="D119" s="304">
        <v>6</v>
      </c>
      <c r="E119" s="305">
        <v>20274</v>
      </c>
      <c r="F119" s="208" t="s">
        <v>765</v>
      </c>
      <c r="G119" s="283"/>
      <c r="H119" s="357"/>
      <c r="I119" s="356"/>
      <c r="J119" s="273"/>
      <c r="K119" s="273"/>
    </row>
    <row r="120" spans="1:11" s="1" customFormat="1">
      <c r="A120" s="213">
        <v>113</v>
      </c>
      <c r="B120" s="216" t="s">
        <v>767</v>
      </c>
      <c r="C120" s="207" t="s">
        <v>353</v>
      </c>
      <c r="D120" s="304">
        <v>2</v>
      </c>
      <c r="E120" s="305">
        <v>3379</v>
      </c>
      <c r="F120" s="208" t="s">
        <v>765</v>
      </c>
      <c r="G120" s="283"/>
      <c r="H120" s="357"/>
      <c r="I120" s="356"/>
      <c r="J120" s="273"/>
      <c r="K120" s="273"/>
    </row>
    <row r="121" spans="1:11" s="1" customFormat="1">
      <c r="A121" s="213"/>
      <c r="B121" s="206"/>
      <c r="C121" s="207"/>
      <c r="D121" s="304"/>
      <c r="E121" s="305"/>
      <c r="F121" s="230"/>
      <c r="G121" s="283"/>
      <c r="H121" s="357"/>
      <c r="I121" s="356"/>
      <c r="J121" s="273"/>
      <c r="K121" s="273"/>
    </row>
    <row r="122" spans="1:11" s="1" customFormat="1">
      <c r="A122" s="213">
        <v>114</v>
      </c>
      <c r="B122" s="216" t="s">
        <v>515</v>
      </c>
      <c r="C122" s="207" t="s">
        <v>353</v>
      </c>
      <c r="D122" s="304">
        <v>1</v>
      </c>
      <c r="E122" s="305">
        <f>219.49+11.16</f>
        <v>230.65</v>
      </c>
      <c r="F122" s="272" t="s">
        <v>543</v>
      </c>
      <c r="G122" s="286"/>
      <c r="H122" s="357"/>
      <c r="I122" s="356"/>
      <c r="J122" s="273"/>
      <c r="K122" s="273"/>
    </row>
    <row r="123" spans="1:11" s="1" customFormat="1">
      <c r="A123" s="213">
        <v>115</v>
      </c>
      <c r="B123" s="216" t="s">
        <v>582</v>
      </c>
      <c r="C123" s="207" t="s">
        <v>353</v>
      </c>
      <c r="D123" s="304">
        <v>1</v>
      </c>
      <c r="E123" s="305">
        <v>231.59</v>
      </c>
      <c r="F123" s="230" t="s">
        <v>766</v>
      </c>
      <c r="G123" s="283"/>
      <c r="H123" s="357"/>
      <c r="I123" s="356"/>
      <c r="J123" s="273"/>
      <c r="K123" s="273"/>
    </row>
    <row r="124" spans="1:11" s="1" customFormat="1">
      <c r="A124" s="213">
        <v>116</v>
      </c>
      <c r="B124" s="216" t="s">
        <v>620</v>
      </c>
      <c r="C124" s="207" t="s">
        <v>353</v>
      </c>
      <c r="D124" s="304">
        <v>1</v>
      </c>
      <c r="E124" s="305">
        <v>1348.92</v>
      </c>
      <c r="F124" s="230" t="s">
        <v>766</v>
      </c>
      <c r="G124" s="283"/>
      <c r="H124" s="357"/>
      <c r="I124" s="356"/>
      <c r="J124" s="273"/>
      <c r="K124" s="273"/>
    </row>
    <row r="125" spans="1:11" s="1" customFormat="1">
      <c r="A125" s="213"/>
      <c r="B125" s="216"/>
      <c r="C125" s="207"/>
      <c r="D125" s="304"/>
      <c r="E125" s="305"/>
      <c r="F125" s="230"/>
      <c r="G125" s="283"/>
      <c r="H125" s="357"/>
      <c r="I125" s="356"/>
      <c r="J125" s="273"/>
      <c r="K125" s="273"/>
    </row>
    <row r="126" spans="1:11" s="1" customFormat="1">
      <c r="A126" s="213">
        <v>117</v>
      </c>
      <c r="B126" s="216" t="s">
        <v>731</v>
      </c>
      <c r="C126" s="207" t="s">
        <v>353</v>
      </c>
      <c r="D126" s="304">
        <v>41</v>
      </c>
      <c r="E126" s="305">
        <v>70807</v>
      </c>
      <c r="F126" s="230" t="s">
        <v>732</v>
      </c>
      <c r="G126" s="283"/>
      <c r="H126" s="357"/>
      <c r="I126" s="356"/>
      <c r="J126" s="371"/>
      <c r="K126" s="273"/>
    </row>
    <row r="127" spans="1:11" s="1" customFormat="1" ht="15.75" thickBot="1">
      <c r="A127" s="213">
        <v>118</v>
      </c>
      <c r="B127" s="216" t="s">
        <v>483</v>
      </c>
      <c r="C127" s="328" t="s">
        <v>353</v>
      </c>
      <c r="D127" s="329">
        <v>47</v>
      </c>
      <c r="E127" s="330">
        <v>3290</v>
      </c>
      <c r="F127" s="230" t="s">
        <v>732</v>
      </c>
      <c r="G127" s="283"/>
      <c r="H127" s="357"/>
      <c r="I127" s="356"/>
      <c r="J127" s="371"/>
      <c r="K127" s="273"/>
    </row>
    <row r="128" spans="1:11">
      <c r="A128" s="458"/>
      <c r="B128" s="456" t="s">
        <v>368</v>
      </c>
      <c r="C128" s="460"/>
      <c r="D128" s="462"/>
      <c r="E128" s="464">
        <f>SUM(E130:E142)</f>
        <v>57456.92</v>
      </c>
      <c r="F128" s="466"/>
      <c r="G128" s="286"/>
      <c r="H128" s="534"/>
      <c r="I128" s="553"/>
      <c r="J128" s="554"/>
      <c r="K128" s="273"/>
    </row>
    <row r="129" spans="1:11" ht="15.75" thickBot="1">
      <c r="A129" s="459"/>
      <c r="B129" s="457"/>
      <c r="C129" s="461"/>
      <c r="D129" s="463"/>
      <c r="E129" s="465"/>
      <c r="F129" s="467"/>
      <c r="G129" s="286"/>
      <c r="H129" s="534"/>
      <c r="I129" s="553"/>
      <c r="J129" s="555"/>
      <c r="K129" s="273"/>
    </row>
    <row r="130" spans="1:11">
      <c r="A130" s="201">
        <v>1</v>
      </c>
      <c r="B130" s="202" t="s">
        <v>701</v>
      </c>
      <c r="C130" s="203" t="s">
        <v>353</v>
      </c>
      <c r="D130" s="331">
        <v>43</v>
      </c>
      <c r="E130" s="332">
        <v>1462</v>
      </c>
      <c r="F130" s="204" t="s">
        <v>354</v>
      </c>
      <c r="G130" s="283"/>
      <c r="H130" s="273"/>
      <c r="I130" s="356"/>
      <c r="J130" s="273"/>
      <c r="K130" s="273"/>
    </row>
    <row r="131" spans="1:11">
      <c r="A131" s="205">
        <v>3</v>
      </c>
      <c r="B131" s="206" t="s">
        <v>369</v>
      </c>
      <c r="C131" s="207" t="s">
        <v>353</v>
      </c>
      <c r="D131" s="300">
        <f>1+2+2</f>
        <v>5</v>
      </c>
      <c r="E131" s="305">
        <f>65.11+128.36+132.08</f>
        <v>325.55000000000007</v>
      </c>
      <c r="F131" s="208" t="s">
        <v>354</v>
      </c>
      <c r="G131" s="283"/>
      <c r="H131" s="273"/>
      <c r="I131" s="356"/>
      <c r="J131" s="273"/>
      <c r="K131" s="273"/>
    </row>
    <row r="132" spans="1:11">
      <c r="A132" s="205">
        <v>4</v>
      </c>
      <c r="B132" s="206" t="s">
        <v>647</v>
      </c>
      <c r="C132" s="207" t="s">
        <v>353</v>
      </c>
      <c r="D132" s="300">
        <v>20</v>
      </c>
      <c r="E132" s="305">
        <v>1080</v>
      </c>
      <c r="F132" s="208" t="s">
        <v>354</v>
      </c>
      <c r="G132" s="283"/>
      <c r="H132" s="273"/>
      <c r="I132" s="356"/>
      <c r="J132" s="273"/>
      <c r="K132" s="273"/>
    </row>
    <row r="133" spans="1:11" s="1" customFormat="1">
      <c r="A133" s="205">
        <v>5</v>
      </c>
      <c r="B133" s="206" t="s">
        <v>684</v>
      </c>
      <c r="C133" s="207" t="s">
        <v>353</v>
      </c>
      <c r="D133" s="300">
        <v>30</v>
      </c>
      <c r="E133" s="305">
        <v>1260</v>
      </c>
      <c r="F133" s="208" t="s">
        <v>354</v>
      </c>
      <c r="G133" s="283"/>
      <c r="H133" s="273"/>
      <c r="I133" s="356"/>
      <c r="J133" s="273"/>
      <c r="K133" s="273"/>
    </row>
    <row r="134" spans="1:11">
      <c r="A134" s="205">
        <v>6</v>
      </c>
      <c r="B134" s="206" t="s">
        <v>370</v>
      </c>
      <c r="C134" s="207" t="s">
        <v>353</v>
      </c>
      <c r="D134" s="300">
        <v>5</v>
      </c>
      <c r="E134" s="305">
        <f>381.35</f>
        <v>381.35</v>
      </c>
      <c r="F134" s="208" t="s">
        <v>354</v>
      </c>
      <c r="G134" s="283"/>
      <c r="H134" s="273"/>
      <c r="I134" s="356"/>
      <c r="J134" s="273"/>
      <c r="K134" s="273"/>
    </row>
    <row r="135" spans="1:11" s="1" customFormat="1">
      <c r="A135" s="205">
        <v>7</v>
      </c>
      <c r="B135" s="206" t="s">
        <v>779</v>
      </c>
      <c r="C135" s="207" t="s">
        <v>353</v>
      </c>
      <c r="D135" s="300">
        <v>30</v>
      </c>
      <c r="E135" s="305">
        <v>1680</v>
      </c>
      <c r="F135" s="208" t="s">
        <v>354</v>
      </c>
      <c r="G135" s="283"/>
      <c r="H135" s="273"/>
      <c r="I135" s="356"/>
      <c r="J135" s="365"/>
      <c r="K135" s="273"/>
    </row>
    <row r="136" spans="1:11" s="1" customFormat="1">
      <c r="A136" s="205">
        <v>8</v>
      </c>
      <c r="B136" s="206" t="s">
        <v>638</v>
      </c>
      <c r="C136" s="207" t="s">
        <v>353</v>
      </c>
      <c r="D136" s="300">
        <v>2</v>
      </c>
      <c r="E136" s="305">
        <v>600</v>
      </c>
      <c r="F136" s="208" t="s">
        <v>354</v>
      </c>
      <c r="G136" s="283"/>
      <c r="H136" s="273"/>
      <c r="I136" s="356"/>
      <c r="J136" s="273"/>
      <c r="K136" s="273"/>
    </row>
    <row r="137" spans="1:11" s="1" customFormat="1">
      <c r="A137" s="205">
        <v>9</v>
      </c>
      <c r="B137" s="206" t="s">
        <v>610</v>
      </c>
      <c r="C137" s="207" t="s">
        <v>353</v>
      </c>
      <c r="D137" s="300">
        <v>1</v>
      </c>
      <c r="E137" s="305">
        <f>253.95+6.51</f>
        <v>260.45999999999998</v>
      </c>
      <c r="F137" s="235" t="s">
        <v>590</v>
      </c>
      <c r="G137" s="288"/>
      <c r="H137" s="273"/>
      <c r="I137" s="356"/>
      <c r="J137" s="273"/>
      <c r="K137" s="273"/>
    </row>
    <row r="138" spans="1:11" s="1" customFormat="1">
      <c r="A138" s="205">
        <v>10</v>
      </c>
      <c r="B138" s="206" t="s">
        <v>371</v>
      </c>
      <c r="C138" s="207" t="s">
        <v>353</v>
      </c>
      <c r="D138" s="300">
        <v>1</v>
      </c>
      <c r="E138" s="305">
        <v>2316.16</v>
      </c>
      <c r="F138" s="235" t="s">
        <v>590</v>
      </c>
      <c r="G138" s="288"/>
      <c r="H138" s="273"/>
      <c r="I138" s="356"/>
      <c r="J138" s="372"/>
      <c r="K138" s="273"/>
    </row>
    <row r="139" spans="1:11">
      <c r="A139" s="205">
        <v>11</v>
      </c>
      <c r="B139" s="206" t="s">
        <v>639</v>
      </c>
      <c r="C139" s="207" t="s">
        <v>353</v>
      </c>
      <c r="D139" s="300">
        <v>10</v>
      </c>
      <c r="E139" s="302">
        <v>6200</v>
      </c>
      <c r="F139" s="344" t="s">
        <v>770</v>
      </c>
      <c r="G139" s="288"/>
      <c r="H139" s="273"/>
      <c r="I139" s="356"/>
      <c r="J139" s="273"/>
      <c r="K139" s="356"/>
    </row>
    <row r="140" spans="1:11" s="1" customFormat="1" ht="17.25" customHeight="1">
      <c r="A140" s="227">
        <v>12</v>
      </c>
      <c r="B140" s="236" t="s">
        <v>710</v>
      </c>
      <c r="C140" s="279" t="s">
        <v>353</v>
      </c>
      <c r="D140" s="101">
        <f>3+5</f>
        <v>8</v>
      </c>
      <c r="E140" s="306">
        <f>5464+9235.4</f>
        <v>14699.4</v>
      </c>
      <c r="F140" s="344" t="s">
        <v>771</v>
      </c>
      <c r="G140" s="288"/>
      <c r="H140" s="360"/>
      <c r="I140" s="361"/>
      <c r="J140" s="373"/>
      <c r="K140" s="356"/>
    </row>
    <row r="141" spans="1:11" s="1" customFormat="1" ht="21" customHeight="1">
      <c r="A141" s="227">
        <v>13</v>
      </c>
      <c r="B141" s="409" t="s">
        <v>640</v>
      </c>
      <c r="C141" s="279" t="s">
        <v>353</v>
      </c>
      <c r="D141" s="101">
        <v>11</v>
      </c>
      <c r="E141" s="306">
        <v>24926</v>
      </c>
      <c r="F141" s="344" t="s">
        <v>771</v>
      </c>
      <c r="G141" s="288"/>
      <c r="H141" s="360"/>
      <c r="I141" s="361"/>
      <c r="J141" s="367"/>
      <c r="K141" s="356"/>
    </row>
    <row r="142" spans="1:11" ht="26.25" thickBot="1">
      <c r="A142" s="213">
        <v>14</v>
      </c>
      <c r="B142" s="322" t="s">
        <v>640</v>
      </c>
      <c r="C142" s="323" t="s">
        <v>353</v>
      </c>
      <c r="D142" s="324">
        <v>1</v>
      </c>
      <c r="E142" s="325">
        <v>2266</v>
      </c>
      <c r="F142" s="344" t="s">
        <v>771</v>
      </c>
      <c r="G142" s="289"/>
      <c r="H142" s="360"/>
      <c r="I142" s="361"/>
      <c r="J142" s="360"/>
      <c r="K142" s="273"/>
    </row>
    <row r="143" spans="1:11">
      <c r="A143" s="489"/>
      <c r="B143" s="491" t="s">
        <v>372</v>
      </c>
      <c r="C143" s="477"/>
      <c r="D143" s="493"/>
      <c r="E143" s="495">
        <f>SUM(E145:E165)</f>
        <v>113259.53</v>
      </c>
      <c r="F143" s="506"/>
      <c r="G143" s="286"/>
      <c r="H143" s="534"/>
      <c r="I143" s="553"/>
      <c r="J143" s="554"/>
      <c r="K143" s="273"/>
    </row>
    <row r="144" spans="1:11" ht="15.75" thickBot="1">
      <c r="A144" s="490"/>
      <c r="B144" s="492"/>
      <c r="C144" s="478"/>
      <c r="D144" s="494"/>
      <c r="E144" s="496"/>
      <c r="F144" s="467"/>
      <c r="G144" s="286"/>
      <c r="H144" s="534"/>
      <c r="I144" s="553"/>
      <c r="J144" s="555"/>
      <c r="K144" s="273"/>
    </row>
    <row r="145" spans="1:13" ht="14.25" customHeight="1">
      <c r="A145" s="201">
        <v>1</v>
      </c>
      <c r="B145" s="202" t="s">
        <v>712</v>
      </c>
      <c r="C145" s="217" t="s">
        <v>353</v>
      </c>
      <c r="D145" s="326">
        <v>10</v>
      </c>
      <c r="E145" s="327">
        <v>18500</v>
      </c>
      <c r="F145" s="474" t="s">
        <v>374</v>
      </c>
      <c r="G145" s="290"/>
      <c r="H145" s="273"/>
      <c r="I145" s="356"/>
      <c r="J145" s="374"/>
      <c r="K145" s="273"/>
    </row>
    <row r="146" spans="1:13" s="1" customFormat="1">
      <c r="A146" s="201">
        <v>2</v>
      </c>
      <c r="B146" s="202" t="s">
        <v>373</v>
      </c>
      <c r="C146" s="217" t="s">
        <v>353</v>
      </c>
      <c r="D146" s="300">
        <v>4</v>
      </c>
      <c r="E146" s="305">
        <v>4916</v>
      </c>
      <c r="F146" s="549"/>
      <c r="G146" s="290"/>
      <c r="H146" s="273"/>
      <c r="I146" s="356"/>
      <c r="J146" s="371"/>
      <c r="K146" s="273"/>
    </row>
    <row r="147" spans="1:13" ht="15" customHeight="1">
      <c r="A147" s="205">
        <v>3</v>
      </c>
      <c r="B147" s="206" t="s">
        <v>602</v>
      </c>
      <c r="C147" s="209" t="s">
        <v>353</v>
      </c>
      <c r="D147" s="300">
        <v>20</v>
      </c>
      <c r="E147" s="305">
        <v>1710</v>
      </c>
      <c r="F147" s="558" t="s">
        <v>769</v>
      </c>
      <c r="G147" s="291"/>
      <c r="H147" s="273"/>
      <c r="I147" s="356"/>
      <c r="J147" s="273"/>
      <c r="K147" s="273"/>
      <c r="L147" s="1"/>
      <c r="M147" s="1"/>
    </row>
    <row r="148" spans="1:13" s="1" customFormat="1">
      <c r="A148" s="205">
        <v>4</v>
      </c>
      <c r="B148" s="206" t="s">
        <v>602</v>
      </c>
      <c r="C148" s="209" t="s">
        <v>353</v>
      </c>
      <c r="D148" s="300">
        <v>20</v>
      </c>
      <c r="E148" s="305">
        <v>1710</v>
      </c>
      <c r="F148" s="559"/>
      <c r="G148" s="291"/>
      <c r="H148" s="273"/>
      <c r="I148" s="356"/>
      <c r="J148" s="365"/>
      <c r="K148" s="273"/>
    </row>
    <row r="149" spans="1:13" s="1" customFormat="1">
      <c r="A149" s="205">
        <v>5</v>
      </c>
      <c r="B149" s="206" t="s">
        <v>711</v>
      </c>
      <c r="C149" s="209" t="s">
        <v>353</v>
      </c>
      <c r="D149" s="300">
        <v>20</v>
      </c>
      <c r="E149" s="305">
        <v>1200</v>
      </c>
      <c r="F149" s="560"/>
      <c r="G149" s="291"/>
      <c r="H149" s="273"/>
      <c r="I149" s="356"/>
      <c r="J149" s="375"/>
      <c r="K149" s="273"/>
    </row>
    <row r="150" spans="1:13">
      <c r="A150" s="205">
        <v>6</v>
      </c>
      <c r="B150" s="206" t="s">
        <v>544</v>
      </c>
      <c r="C150" s="209" t="s">
        <v>353</v>
      </c>
      <c r="D150" s="300">
        <f>20+20</f>
        <v>40</v>
      </c>
      <c r="E150" s="305">
        <f>2699+3623</f>
        <v>6322</v>
      </c>
      <c r="F150" s="411" t="s">
        <v>773</v>
      </c>
      <c r="G150" s="291"/>
      <c r="H150" s="273"/>
      <c r="I150" s="356"/>
      <c r="J150" s="273"/>
      <c r="K150" s="273"/>
      <c r="M150" s="1"/>
    </row>
    <row r="151" spans="1:13">
      <c r="A151" s="205">
        <v>7</v>
      </c>
      <c r="B151" s="206" t="s">
        <v>375</v>
      </c>
      <c r="C151" s="209" t="s">
        <v>353</v>
      </c>
      <c r="D151" s="300">
        <v>5</v>
      </c>
      <c r="E151" s="305">
        <f>1475</f>
        <v>1475</v>
      </c>
      <c r="F151" s="411" t="s">
        <v>772</v>
      </c>
      <c r="G151" s="291"/>
      <c r="H151" s="273"/>
      <c r="I151" s="356"/>
      <c r="J151" s="368"/>
      <c r="K151" s="364"/>
    </row>
    <row r="152" spans="1:13" ht="15.75" customHeight="1">
      <c r="A152" s="317">
        <v>8</v>
      </c>
      <c r="B152" s="218" t="s">
        <v>738</v>
      </c>
      <c r="C152" s="319" t="s">
        <v>353</v>
      </c>
      <c r="D152" s="300">
        <v>20</v>
      </c>
      <c r="E152" s="305">
        <v>10050</v>
      </c>
      <c r="F152" s="548" t="s">
        <v>376</v>
      </c>
      <c r="G152" s="292"/>
      <c r="H152" s="273"/>
      <c r="I152" s="356"/>
      <c r="J152" s="365"/>
      <c r="K152" s="273"/>
    </row>
    <row r="153" spans="1:13" ht="16.5" customHeight="1">
      <c r="A153" s="317">
        <v>9</v>
      </c>
      <c r="B153" s="218" t="s">
        <v>738</v>
      </c>
      <c r="C153" s="319" t="s">
        <v>353</v>
      </c>
      <c r="D153" s="101">
        <f>40+20</f>
        <v>60</v>
      </c>
      <c r="E153" s="315">
        <f>11100+7500</f>
        <v>18600</v>
      </c>
      <c r="F153" s="475"/>
      <c r="G153" s="292"/>
      <c r="H153" s="360"/>
      <c r="I153" s="361"/>
      <c r="J153" s="376"/>
      <c r="K153" s="273"/>
    </row>
    <row r="154" spans="1:13">
      <c r="A154" s="317">
        <v>10</v>
      </c>
      <c r="B154" s="218" t="s">
        <v>377</v>
      </c>
      <c r="C154" s="319" t="s">
        <v>353</v>
      </c>
      <c r="D154" s="300">
        <v>20</v>
      </c>
      <c r="E154" s="305">
        <v>10050</v>
      </c>
      <c r="F154" s="475"/>
      <c r="G154" s="292"/>
      <c r="H154" s="273"/>
      <c r="I154" s="356"/>
      <c r="J154" s="273"/>
      <c r="K154" s="273"/>
    </row>
    <row r="155" spans="1:13" s="1" customFormat="1">
      <c r="A155" s="317">
        <v>11</v>
      </c>
      <c r="B155" s="218" t="s">
        <v>750</v>
      </c>
      <c r="C155" s="319" t="s">
        <v>353</v>
      </c>
      <c r="D155" s="300">
        <v>40</v>
      </c>
      <c r="E155" s="305">
        <f>10260+1500</f>
        <v>11760</v>
      </c>
      <c r="F155" s="475"/>
      <c r="G155" s="292"/>
      <c r="H155" s="273"/>
      <c r="I155" s="356"/>
      <c r="J155" s="365"/>
      <c r="K155" s="273"/>
    </row>
    <row r="156" spans="1:13">
      <c r="A156" s="317">
        <v>12</v>
      </c>
      <c r="B156" s="218" t="s">
        <v>378</v>
      </c>
      <c r="C156" s="319" t="s">
        <v>355</v>
      </c>
      <c r="D156" s="300">
        <v>6</v>
      </c>
      <c r="E156" s="305">
        <v>3013.8</v>
      </c>
      <c r="F156" s="549"/>
      <c r="G156" s="292"/>
      <c r="H156" s="273"/>
      <c r="I156" s="356"/>
      <c r="J156" s="273"/>
      <c r="K156" s="273"/>
    </row>
    <row r="157" spans="1:13" s="1" customFormat="1">
      <c r="A157" s="317">
        <v>13</v>
      </c>
      <c r="B157" s="218" t="s">
        <v>484</v>
      </c>
      <c r="C157" s="319" t="s">
        <v>353</v>
      </c>
      <c r="D157" s="300">
        <v>2</v>
      </c>
      <c r="E157" s="305">
        <v>321</v>
      </c>
      <c r="F157" s="352" t="s">
        <v>672</v>
      </c>
      <c r="G157" s="292"/>
      <c r="H157" s="273"/>
      <c r="I157" s="356"/>
      <c r="J157" s="273"/>
      <c r="K157" s="273"/>
    </row>
    <row r="158" spans="1:13" ht="15" customHeight="1">
      <c r="A158" s="205">
        <v>14</v>
      </c>
      <c r="B158" s="218" t="s">
        <v>650</v>
      </c>
      <c r="C158" s="319" t="s">
        <v>355</v>
      </c>
      <c r="D158" s="300">
        <f>4+2</f>
        <v>6</v>
      </c>
      <c r="E158" s="305">
        <f>1730.08+509.66</f>
        <v>2239.7399999999998</v>
      </c>
      <c r="F158" s="548" t="s">
        <v>379</v>
      </c>
      <c r="G158" s="289"/>
      <c r="H158" s="273"/>
      <c r="I158" s="356"/>
      <c r="J158" s="372"/>
      <c r="K158" s="273"/>
    </row>
    <row r="159" spans="1:13">
      <c r="A159" s="205">
        <v>15</v>
      </c>
      <c r="B159" s="220" t="s">
        <v>380</v>
      </c>
      <c r="C159" s="209" t="s">
        <v>353</v>
      </c>
      <c r="D159" s="300">
        <v>1</v>
      </c>
      <c r="E159" s="305">
        <f>240.93+6.51</f>
        <v>247.44</v>
      </c>
      <c r="F159" s="475"/>
      <c r="G159" s="289"/>
      <c r="H159" s="273"/>
      <c r="I159" s="356"/>
      <c r="J159" s="273"/>
      <c r="K159" s="273"/>
    </row>
    <row r="160" spans="1:13">
      <c r="A160" s="213">
        <v>16</v>
      </c>
      <c r="B160" s="221" t="s">
        <v>585</v>
      </c>
      <c r="C160" s="209" t="s">
        <v>353</v>
      </c>
      <c r="D160" s="300">
        <v>1</v>
      </c>
      <c r="E160" s="305">
        <f>324.65</f>
        <v>324.64999999999998</v>
      </c>
      <c r="F160" s="475"/>
      <c r="G160" s="289"/>
      <c r="H160" s="273"/>
      <c r="I160" s="356"/>
      <c r="J160" s="273"/>
      <c r="K160" s="273"/>
      <c r="L160" s="113"/>
      <c r="M160" s="113"/>
    </row>
    <row r="161" spans="1:11" s="1" customFormat="1">
      <c r="A161" s="213">
        <v>17</v>
      </c>
      <c r="B161" s="221" t="s">
        <v>596</v>
      </c>
      <c r="C161" s="222" t="s">
        <v>353</v>
      </c>
      <c r="D161" s="300">
        <v>5</v>
      </c>
      <c r="E161" s="305">
        <v>167.45</v>
      </c>
      <c r="F161" s="475"/>
      <c r="G161" s="289"/>
      <c r="H161" s="273"/>
      <c r="I161" s="356"/>
      <c r="J161" s="273"/>
      <c r="K161" s="273"/>
    </row>
    <row r="162" spans="1:11" s="1" customFormat="1">
      <c r="A162" s="213">
        <v>18</v>
      </c>
      <c r="B162" s="216" t="s">
        <v>381</v>
      </c>
      <c r="C162" s="222" t="s">
        <v>353</v>
      </c>
      <c r="D162" s="300">
        <v>2</v>
      </c>
      <c r="E162" s="305">
        <v>386.92</v>
      </c>
      <c r="F162" s="475"/>
      <c r="G162" s="289"/>
      <c r="H162" s="273"/>
      <c r="I162" s="356"/>
      <c r="J162" s="273"/>
      <c r="K162" s="273"/>
    </row>
    <row r="163" spans="1:11" s="1" customFormat="1">
      <c r="A163" s="213">
        <v>19</v>
      </c>
      <c r="B163" s="216" t="s">
        <v>510</v>
      </c>
      <c r="C163" s="222" t="s">
        <v>353</v>
      </c>
      <c r="D163" s="300">
        <v>5</v>
      </c>
      <c r="E163" s="305">
        <v>1623.25</v>
      </c>
      <c r="F163" s="475"/>
      <c r="G163" s="289"/>
      <c r="H163" s="273"/>
      <c r="I163" s="356"/>
      <c r="J163" s="273"/>
      <c r="K163" s="273"/>
    </row>
    <row r="164" spans="1:11" s="1" customFormat="1">
      <c r="A164" s="213">
        <v>20</v>
      </c>
      <c r="B164" s="216" t="s">
        <v>509</v>
      </c>
      <c r="C164" s="222" t="s">
        <v>353</v>
      </c>
      <c r="D164" s="349">
        <f>3+2</f>
        <v>5</v>
      </c>
      <c r="E164" s="350">
        <f>862.32+574.96</f>
        <v>1437.2800000000002</v>
      </c>
      <c r="F164" s="549"/>
      <c r="G164" s="289"/>
      <c r="H164" s="273"/>
      <c r="I164" s="356"/>
      <c r="J164" s="273"/>
      <c r="K164" s="273"/>
    </row>
    <row r="165" spans="1:11" s="1" customFormat="1" ht="15.75" thickBot="1">
      <c r="A165" s="213">
        <v>21</v>
      </c>
      <c r="B165" s="216" t="s">
        <v>514</v>
      </c>
      <c r="C165" s="222" t="s">
        <v>353</v>
      </c>
      <c r="D165" s="300">
        <v>15</v>
      </c>
      <c r="E165" s="305">
        <v>17205</v>
      </c>
      <c r="F165" s="410" t="s">
        <v>768</v>
      </c>
      <c r="G165" s="289"/>
      <c r="H165" s="273"/>
      <c r="I165" s="356"/>
      <c r="J165" s="371"/>
      <c r="K165" s="273"/>
    </row>
    <row r="166" spans="1:11">
      <c r="A166" s="454"/>
      <c r="B166" s="487" t="s">
        <v>382</v>
      </c>
      <c r="C166" s="460"/>
      <c r="D166" s="462"/>
      <c r="E166" s="464">
        <f>SUM(E168:E206)</f>
        <v>36827.909999999989</v>
      </c>
      <c r="F166" s="506"/>
      <c r="G166" s="286"/>
      <c r="H166" s="534"/>
      <c r="I166" s="553"/>
      <c r="J166" s="554"/>
      <c r="K166" s="273"/>
    </row>
    <row r="167" spans="1:11" ht="15.75" thickBot="1">
      <c r="A167" s="455"/>
      <c r="B167" s="488"/>
      <c r="C167" s="461"/>
      <c r="D167" s="463"/>
      <c r="E167" s="465"/>
      <c r="F167" s="467"/>
      <c r="G167" s="286"/>
      <c r="H167" s="534"/>
      <c r="I167" s="553"/>
      <c r="J167" s="555"/>
      <c r="K167" s="273"/>
    </row>
    <row r="168" spans="1:11">
      <c r="A168" s="345">
        <v>1</v>
      </c>
      <c r="B168" s="270" t="s">
        <v>383</v>
      </c>
      <c r="C168" s="336" t="s">
        <v>353</v>
      </c>
      <c r="D168" s="331">
        <v>1</v>
      </c>
      <c r="E168" s="331">
        <v>325.58</v>
      </c>
      <c r="F168" s="312" t="s">
        <v>354</v>
      </c>
      <c r="G168" s="286"/>
      <c r="H168" s="273"/>
      <c r="I168" s="273"/>
      <c r="J168" s="273"/>
      <c r="K168" s="273"/>
    </row>
    <row r="169" spans="1:11" s="1" customFormat="1">
      <c r="A169" s="345">
        <v>2</v>
      </c>
      <c r="B169" s="270" t="s">
        <v>490</v>
      </c>
      <c r="C169" s="225" t="s">
        <v>353</v>
      </c>
      <c r="D169" s="300">
        <v>1</v>
      </c>
      <c r="E169" s="305">
        <v>221.4</v>
      </c>
      <c r="F169" s="312" t="s">
        <v>354</v>
      </c>
      <c r="G169" s="286"/>
      <c r="H169" s="273"/>
      <c r="I169" s="356"/>
      <c r="J169" s="273"/>
      <c r="K169" s="273"/>
    </row>
    <row r="170" spans="1:11" s="1" customFormat="1">
      <c r="A170" s="345">
        <v>3</v>
      </c>
      <c r="B170" s="270" t="s">
        <v>607</v>
      </c>
      <c r="C170" s="225" t="s">
        <v>353</v>
      </c>
      <c r="D170" s="300">
        <v>1</v>
      </c>
      <c r="E170" s="305">
        <f>222.32</f>
        <v>222.32</v>
      </c>
      <c r="F170" s="312" t="s">
        <v>354</v>
      </c>
      <c r="G170" s="286"/>
      <c r="H170" s="273"/>
      <c r="I170" s="356"/>
      <c r="J170" s="273"/>
      <c r="K170" s="273"/>
    </row>
    <row r="171" spans="1:11" s="1" customFormat="1">
      <c r="A171" s="345">
        <v>4</v>
      </c>
      <c r="B171" s="270" t="s">
        <v>617</v>
      </c>
      <c r="C171" s="225" t="s">
        <v>353</v>
      </c>
      <c r="D171" s="300">
        <v>1</v>
      </c>
      <c r="E171" s="305">
        <v>194.46</v>
      </c>
      <c r="F171" s="312" t="s">
        <v>354</v>
      </c>
      <c r="G171" s="286"/>
      <c r="H171" s="273"/>
      <c r="I171" s="356"/>
      <c r="J171" s="273"/>
      <c r="K171" s="273"/>
    </row>
    <row r="172" spans="1:11">
      <c r="A172" s="201">
        <v>5</v>
      </c>
      <c r="B172" s="202" t="s">
        <v>714</v>
      </c>
      <c r="C172" s="225" t="s">
        <v>353</v>
      </c>
      <c r="D172" s="300">
        <v>5</v>
      </c>
      <c r="E172" s="305">
        <v>2124.9499999999998</v>
      </c>
      <c r="F172" s="312" t="s">
        <v>354</v>
      </c>
      <c r="G172" s="286"/>
      <c r="H172" s="273"/>
      <c r="I172" s="356"/>
      <c r="J172" s="377"/>
      <c r="K172" s="273"/>
    </row>
    <row r="173" spans="1:11" s="1" customFormat="1">
      <c r="A173" s="201">
        <v>6</v>
      </c>
      <c r="B173" s="202" t="s">
        <v>667</v>
      </c>
      <c r="C173" s="225" t="s">
        <v>355</v>
      </c>
      <c r="D173" s="300">
        <v>2</v>
      </c>
      <c r="E173" s="305">
        <v>539.98</v>
      </c>
      <c r="F173" s="312" t="s">
        <v>354</v>
      </c>
      <c r="G173" s="283"/>
      <c r="H173" s="273"/>
      <c r="I173" s="356"/>
      <c r="J173" s="273"/>
      <c r="K173" s="273"/>
    </row>
    <row r="174" spans="1:11" s="1" customFormat="1">
      <c r="A174" s="201">
        <v>7</v>
      </c>
      <c r="B174" s="202" t="s">
        <v>626</v>
      </c>
      <c r="C174" s="225" t="s">
        <v>353</v>
      </c>
      <c r="D174" s="300">
        <v>5</v>
      </c>
      <c r="E174" s="305">
        <v>195</v>
      </c>
      <c r="F174" s="312" t="s">
        <v>354</v>
      </c>
      <c r="G174" s="283"/>
      <c r="H174" s="273"/>
      <c r="I174" s="356"/>
      <c r="J174" s="273"/>
      <c r="K174" s="273"/>
    </row>
    <row r="175" spans="1:11" s="1" customFormat="1" ht="25.5">
      <c r="A175" s="353">
        <v>8</v>
      </c>
      <c r="B175" s="414" t="s">
        <v>780</v>
      </c>
      <c r="C175" s="280" t="s">
        <v>353</v>
      </c>
      <c r="D175" s="101">
        <f>5+5</f>
        <v>10</v>
      </c>
      <c r="E175" s="315">
        <f>332.5+333.5</f>
        <v>666</v>
      </c>
      <c r="F175" s="342" t="s">
        <v>354</v>
      </c>
      <c r="G175" s="283"/>
      <c r="H175" s="273"/>
      <c r="I175" s="356"/>
      <c r="J175" s="372"/>
      <c r="K175" s="273"/>
    </row>
    <row r="176" spans="1:11">
      <c r="A176" s="226">
        <v>9</v>
      </c>
      <c r="B176" s="206" t="s">
        <v>384</v>
      </c>
      <c r="C176" s="209" t="s">
        <v>353</v>
      </c>
      <c r="D176" s="300">
        <v>1</v>
      </c>
      <c r="E176" s="305">
        <v>51.17</v>
      </c>
      <c r="F176" s="312" t="s">
        <v>354</v>
      </c>
      <c r="G176" s="283"/>
      <c r="H176" s="273"/>
      <c r="I176" s="356"/>
      <c r="J176" s="273"/>
      <c r="K176" s="273"/>
    </row>
    <row r="177" spans="1:12" s="1" customFormat="1">
      <c r="A177" s="226">
        <v>10</v>
      </c>
      <c r="B177" s="206" t="s">
        <v>618</v>
      </c>
      <c r="C177" s="209" t="s">
        <v>353</v>
      </c>
      <c r="D177" s="300">
        <v>1</v>
      </c>
      <c r="E177" s="305">
        <v>73.510000000000005</v>
      </c>
      <c r="F177" s="312" t="s">
        <v>354</v>
      </c>
      <c r="G177" s="283"/>
      <c r="H177" s="273"/>
      <c r="I177" s="356"/>
      <c r="J177" s="273"/>
      <c r="K177" s="273"/>
    </row>
    <row r="178" spans="1:12">
      <c r="A178" s="226">
        <v>11</v>
      </c>
      <c r="B178" s="206" t="s">
        <v>574</v>
      </c>
      <c r="C178" s="209" t="s">
        <v>577</v>
      </c>
      <c r="D178" s="300">
        <v>1</v>
      </c>
      <c r="E178" s="305">
        <v>1545</v>
      </c>
      <c r="F178" s="312" t="s">
        <v>354</v>
      </c>
      <c r="G178" s="283"/>
      <c r="H178" s="273"/>
      <c r="I178" s="356"/>
      <c r="J178" s="273"/>
      <c r="K178" s="273"/>
    </row>
    <row r="179" spans="1:12" s="1" customFormat="1">
      <c r="A179" s="226">
        <v>12</v>
      </c>
      <c r="B179" s="206" t="s">
        <v>645</v>
      </c>
      <c r="C179" s="222" t="s">
        <v>577</v>
      </c>
      <c r="D179" s="300">
        <v>3</v>
      </c>
      <c r="E179" s="305">
        <v>1767</v>
      </c>
      <c r="F179" s="312" t="s">
        <v>354</v>
      </c>
      <c r="G179" s="286"/>
      <c r="H179" s="273"/>
      <c r="I179" s="356"/>
      <c r="J179" s="273"/>
      <c r="K179" s="273"/>
    </row>
    <row r="180" spans="1:12">
      <c r="A180" s="226">
        <v>13</v>
      </c>
      <c r="B180" s="216" t="s">
        <v>627</v>
      </c>
      <c r="C180" s="222" t="s">
        <v>576</v>
      </c>
      <c r="D180" s="300">
        <f>10</f>
        <v>10</v>
      </c>
      <c r="E180" s="305">
        <f>350</f>
        <v>350</v>
      </c>
      <c r="F180" s="312" t="s">
        <v>354</v>
      </c>
      <c r="G180" s="286"/>
      <c r="H180" s="273"/>
      <c r="I180" s="356"/>
      <c r="J180" s="273"/>
      <c r="K180" s="356"/>
      <c r="L180" s="67"/>
    </row>
    <row r="181" spans="1:12">
      <c r="A181" s="226">
        <v>14</v>
      </c>
      <c r="B181" s="206" t="s">
        <v>715</v>
      </c>
      <c r="C181" s="209" t="s">
        <v>353</v>
      </c>
      <c r="D181" s="300">
        <v>6</v>
      </c>
      <c r="E181" s="305">
        <v>1821.48</v>
      </c>
      <c r="F181" s="312" t="s">
        <v>354</v>
      </c>
      <c r="G181" s="286"/>
      <c r="H181" s="273"/>
      <c r="I181" s="356"/>
      <c r="J181" s="273"/>
      <c r="K181" s="273"/>
    </row>
    <row r="182" spans="1:12" s="1" customFormat="1">
      <c r="A182" s="226">
        <v>15</v>
      </c>
      <c r="B182" s="206" t="s">
        <v>575</v>
      </c>
      <c r="C182" s="209" t="s">
        <v>353</v>
      </c>
      <c r="D182" s="300">
        <f>10+5+8</f>
        <v>23</v>
      </c>
      <c r="E182" s="305">
        <f>2180+1105+1888</f>
        <v>5173</v>
      </c>
      <c r="F182" s="312" t="s">
        <v>354</v>
      </c>
      <c r="G182" s="286"/>
      <c r="H182" s="273"/>
      <c r="I182" s="356"/>
      <c r="J182" s="372"/>
      <c r="K182" s="356"/>
      <c r="L182" s="67"/>
    </row>
    <row r="183" spans="1:12" s="1" customFormat="1">
      <c r="A183" s="226">
        <v>16</v>
      </c>
      <c r="B183" s="206" t="s">
        <v>744</v>
      </c>
      <c r="C183" s="209" t="s">
        <v>353</v>
      </c>
      <c r="D183" s="300">
        <v>10</v>
      </c>
      <c r="E183" s="305">
        <v>1900</v>
      </c>
      <c r="F183" s="312" t="s">
        <v>354</v>
      </c>
      <c r="G183" s="286"/>
      <c r="H183" s="273"/>
      <c r="I183" s="356"/>
      <c r="J183" s="365"/>
      <c r="K183" s="356"/>
      <c r="L183" s="67"/>
    </row>
    <row r="184" spans="1:12" s="1" customFormat="1">
      <c r="A184" s="226">
        <v>17</v>
      </c>
      <c r="B184" s="206" t="s">
        <v>700</v>
      </c>
      <c r="C184" s="209" t="s">
        <v>353</v>
      </c>
      <c r="D184" s="300">
        <v>10</v>
      </c>
      <c r="E184" s="305">
        <v>686</v>
      </c>
      <c r="F184" s="312" t="s">
        <v>354</v>
      </c>
      <c r="G184" s="286"/>
      <c r="H184" s="273"/>
      <c r="I184" s="356"/>
      <c r="J184" s="273"/>
      <c r="K184" s="273"/>
    </row>
    <row r="185" spans="1:12" s="1" customFormat="1">
      <c r="A185" s="226">
        <v>18</v>
      </c>
      <c r="B185" s="206" t="s">
        <v>461</v>
      </c>
      <c r="C185" s="207" t="s">
        <v>353</v>
      </c>
      <c r="D185" s="300">
        <v>1</v>
      </c>
      <c r="E185" s="305">
        <v>545.01</v>
      </c>
      <c r="F185" s="312" t="s">
        <v>354</v>
      </c>
      <c r="G185" s="286"/>
      <c r="H185" s="273"/>
      <c r="I185" s="356"/>
      <c r="J185" s="273"/>
      <c r="K185" s="273"/>
    </row>
    <row r="186" spans="1:12">
      <c r="A186" s="226">
        <v>19</v>
      </c>
      <c r="B186" s="206" t="s">
        <v>386</v>
      </c>
      <c r="C186" s="209" t="s">
        <v>353</v>
      </c>
      <c r="D186" s="300">
        <f>10+5</f>
        <v>15</v>
      </c>
      <c r="E186" s="305">
        <f>768+365</f>
        <v>1133</v>
      </c>
      <c r="F186" s="312" t="s">
        <v>354</v>
      </c>
      <c r="G186" s="286"/>
      <c r="H186" s="273"/>
      <c r="I186" s="356"/>
      <c r="J186" s="273"/>
      <c r="K186" s="273"/>
    </row>
    <row r="187" spans="1:12" s="1" customFormat="1" ht="25.5">
      <c r="A187" s="413">
        <v>20</v>
      </c>
      <c r="B187" s="316" t="s">
        <v>717</v>
      </c>
      <c r="C187" s="355" t="s">
        <v>353</v>
      </c>
      <c r="D187" s="101">
        <v>2</v>
      </c>
      <c r="E187" s="315">
        <v>166</v>
      </c>
      <c r="F187" s="342" t="s">
        <v>354</v>
      </c>
      <c r="G187" s="286"/>
      <c r="H187" s="273"/>
      <c r="I187" s="356"/>
      <c r="J187" s="377"/>
      <c r="K187" s="356"/>
      <c r="L187" s="67"/>
    </row>
    <row r="188" spans="1:12" ht="25.5">
      <c r="A188" s="413">
        <v>21</v>
      </c>
      <c r="B188" s="316" t="s">
        <v>718</v>
      </c>
      <c r="C188" s="355" t="s">
        <v>355</v>
      </c>
      <c r="D188" s="101">
        <v>4</v>
      </c>
      <c r="E188" s="315">
        <v>852.92</v>
      </c>
      <c r="F188" s="342" t="s">
        <v>354</v>
      </c>
      <c r="G188" s="286"/>
      <c r="H188" s="273"/>
      <c r="I188" s="356"/>
      <c r="J188" s="377"/>
      <c r="K188" s="273"/>
    </row>
    <row r="189" spans="1:12" s="1" customFormat="1">
      <c r="A189" s="226">
        <v>22</v>
      </c>
      <c r="B189" s="206" t="s">
        <v>499</v>
      </c>
      <c r="C189" s="209" t="s">
        <v>353</v>
      </c>
      <c r="D189" s="300">
        <v>1</v>
      </c>
      <c r="E189" s="305">
        <v>157.34</v>
      </c>
      <c r="F189" s="312" t="s">
        <v>354</v>
      </c>
      <c r="G189" s="286"/>
      <c r="H189" s="273"/>
      <c r="I189" s="356"/>
      <c r="J189" s="273"/>
      <c r="K189" s="273"/>
    </row>
    <row r="190" spans="1:12" s="1" customFormat="1">
      <c r="A190" s="226">
        <v>23</v>
      </c>
      <c r="B190" s="206" t="s">
        <v>730</v>
      </c>
      <c r="C190" s="209" t="s">
        <v>353</v>
      </c>
      <c r="D190" s="300">
        <v>1</v>
      </c>
      <c r="E190" s="305">
        <v>2464.1999999999998</v>
      </c>
      <c r="F190" s="312" t="s">
        <v>354</v>
      </c>
      <c r="G190" s="286"/>
      <c r="H190" s="273"/>
      <c r="I190" s="356"/>
      <c r="J190" s="368"/>
      <c r="K190" s="273"/>
    </row>
    <row r="191" spans="1:12" s="1" customFormat="1">
      <c r="A191" s="226">
        <v>24</v>
      </c>
      <c r="B191" s="206" t="s">
        <v>781</v>
      </c>
      <c r="C191" s="319" t="s">
        <v>577</v>
      </c>
      <c r="D191" s="300">
        <v>1</v>
      </c>
      <c r="E191" s="305">
        <v>3215</v>
      </c>
      <c r="F191" s="312" t="s">
        <v>354</v>
      </c>
      <c r="G191" s="286"/>
      <c r="H191" s="273"/>
      <c r="I191" s="356"/>
      <c r="J191" s="365"/>
      <c r="K191" s="273"/>
    </row>
    <row r="192" spans="1:12" s="1" customFormat="1">
      <c r="A192" s="226">
        <v>25</v>
      </c>
      <c r="B192" s="206" t="s">
        <v>391</v>
      </c>
      <c r="C192" s="209" t="s">
        <v>353</v>
      </c>
      <c r="D192" s="300">
        <v>1</v>
      </c>
      <c r="E192" s="305">
        <v>278.20999999999998</v>
      </c>
      <c r="F192" s="312" t="s">
        <v>354</v>
      </c>
      <c r="G192" s="286"/>
      <c r="H192" s="273"/>
      <c r="I192" s="356"/>
      <c r="J192" s="273"/>
      <c r="K192" s="273"/>
    </row>
    <row r="193" spans="1:13" s="1" customFormat="1">
      <c r="A193" s="226">
        <v>26</v>
      </c>
      <c r="B193" s="231" t="s">
        <v>481</v>
      </c>
      <c r="C193" s="209" t="s">
        <v>353</v>
      </c>
      <c r="D193" s="300">
        <v>3</v>
      </c>
      <c r="E193" s="305">
        <v>304.2</v>
      </c>
      <c r="F193" s="312" t="s">
        <v>354</v>
      </c>
      <c r="G193" s="286"/>
      <c r="H193" s="273"/>
      <c r="I193" s="356"/>
      <c r="J193" s="273"/>
      <c r="K193" s="273"/>
    </row>
    <row r="194" spans="1:13" ht="25.5">
      <c r="A194" s="413">
        <v>27</v>
      </c>
      <c r="B194" s="316" t="s">
        <v>782</v>
      </c>
      <c r="C194" s="355" t="s">
        <v>355</v>
      </c>
      <c r="D194" s="101">
        <v>5</v>
      </c>
      <c r="E194" s="315">
        <v>595</v>
      </c>
      <c r="F194" s="342" t="s">
        <v>354</v>
      </c>
      <c r="G194" s="286"/>
      <c r="H194" s="273"/>
      <c r="I194" s="356"/>
      <c r="J194" s="273"/>
      <c r="K194" s="273"/>
    </row>
    <row r="195" spans="1:13" s="1" customFormat="1">
      <c r="A195" s="226">
        <v>28</v>
      </c>
      <c r="B195" s="206" t="s">
        <v>621</v>
      </c>
      <c r="C195" s="209" t="s">
        <v>355</v>
      </c>
      <c r="D195" s="300">
        <f>2+3</f>
        <v>5</v>
      </c>
      <c r="E195" s="305">
        <f>625.02+329.31</f>
        <v>954.32999999999993</v>
      </c>
      <c r="F195" s="312" t="s">
        <v>354</v>
      </c>
      <c r="G195" s="286"/>
      <c r="H195" s="273"/>
      <c r="I195" s="356"/>
      <c r="J195" s="273"/>
      <c r="K195" s="273"/>
    </row>
    <row r="196" spans="1:13" s="1" customFormat="1" ht="25.5">
      <c r="A196" s="413">
        <v>29</v>
      </c>
      <c r="B196" s="316" t="s">
        <v>713</v>
      </c>
      <c r="C196" s="355" t="s">
        <v>353</v>
      </c>
      <c r="D196" s="101">
        <v>3</v>
      </c>
      <c r="E196" s="315">
        <v>426.96</v>
      </c>
      <c r="F196" s="342" t="s">
        <v>354</v>
      </c>
      <c r="G196" s="314"/>
      <c r="H196" s="360"/>
      <c r="I196" s="361"/>
      <c r="J196" s="377"/>
      <c r="K196" s="364"/>
      <c r="L196" s="67"/>
      <c r="M196" s="194"/>
    </row>
    <row r="197" spans="1:13" s="1" customFormat="1" ht="25.5">
      <c r="A197" s="413">
        <v>30</v>
      </c>
      <c r="B197" s="231" t="s">
        <v>589</v>
      </c>
      <c r="C197" s="319" t="s">
        <v>355</v>
      </c>
      <c r="D197" s="101">
        <v>5</v>
      </c>
      <c r="E197" s="315">
        <v>540</v>
      </c>
      <c r="F197" s="312" t="s">
        <v>354</v>
      </c>
      <c r="G197" s="286"/>
      <c r="H197" s="360"/>
      <c r="I197" s="361"/>
      <c r="J197" s="360"/>
      <c r="K197" s="273"/>
    </row>
    <row r="198" spans="1:13" s="1" customFormat="1" ht="25.5">
      <c r="A198" s="413">
        <v>31</v>
      </c>
      <c r="B198" s="316" t="s">
        <v>719</v>
      </c>
      <c r="C198" s="355" t="s">
        <v>353</v>
      </c>
      <c r="D198" s="101">
        <v>5</v>
      </c>
      <c r="E198" s="315">
        <v>220.05</v>
      </c>
      <c r="F198" s="342" t="s">
        <v>354</v>
      </c>
      <c r="G198" s="286"/>
      <c r="H198" s="360"/>
      <c r="I198" s="361"/>
      <c r="J198" s="377"/>
      <c r="K198" s="273"/>
    </row>
    <row r="199" spans="1:13" s="1" customFormat="1" ht="15" customHeight="1">
      <c r="A199" s="413">
        <v>32</v>
      </c>
      <c r="B199" s="231" t="s">
        <v>775</v>
      </c>
      <c r="C199" s="319" t="s">
        <v>353</v>
      </c>
      <c r="D199" s="101">
        <v>5</v>
      </c>
      <c r="E199" s="315">
        <v>319</v>
      </c>
      <c r="F199" s="312" t="s">
        <v>354</v>
      </c>
      <c r="G199" s="286"/>
      <c r="H199" s="360"/>
      <c r="I199" s="361"/>
      <c r="J199" s="377"/>
      <c r="K199" s="273"/>
    </row>
    <row r="200" spans="1:13" s="1" customFormat="1" ht="25.5">
      <c r="A200" s="413">
        <v>33</v>
      </c>
      <c r="B200" s="316" t="s">
        <v>725</v>
      </c>
      <c r="C200" s="355" t="s">
        <v>353</v>
      </c>
      <c r="D200" s="101">
        <v>10</v>
      </c>
      <c r="E200" s="315">
        <f>3180+586.8</f>
        <v>3766.8</v>
      </c>
      <c r="F200" s="342" t="s">
        <v>354</v>
      </c>
      <c r="G200" s="286"/>
      <c r="H200" s="273"/>
      <c r="I200" s="356"/>
      <c r="J200" s="368"/>
      <c r="K200" s="273"/>
    </row>
    <row r="201" spans="1:13">
      <c r="A201" s="226">
        <v>34</v>
      </c>
      <c r="B201" s="206" t="s">
        <v>389</v>
      </c>
      <c r="C201" s="209" t="s">
        <v>353</v>
      </c>
      <c r="D201" s="300">
        <v>1</v>
      </c>
      <c r="E201" s="305">
        <v>706.05</v>
      </c>
      <c r="F201" s="312" t="s">
        <v>354</v>
      </c>
      <c r="G201" s="286"/>
      <c r="H201" s="273"/>
      <c r="I201" s="356"/>
      <c r="J201" s="273"/>
      <c r="K201" s="273"/>
    </row>
    <row r="202" spans="1:13">
      <c r="A202" s="226">
        <v>35</v>
      </c>
      <c r="B202" s="206" t="s">
        <v>628</v>
      </c>
      <c r="C202" s="209" t="s">
        <v>353</v>
      </c>
      <c r="D202" s="300">
        <v>1</v>
      </c>
      <c r="E202" s="305">
        <v>445</v>
      </c>
      <c r="F202" s="312" t="s">
        <v>354</v>
      </c>
      <c r="G202" s="286"/>
      <c r="H202" s="273"/>
      <c r="I202" s="356"/>
      <c r="J202" s="273"/>
      <c r="K202" s="273"/>
    </row>
    <row r="203" spans="1:13">
      <c r="A203" s="226">
        <v>36</v>
      </c>
      <c r="B203" s="206" t="s">
        <v>536</v>
      </c>
      <c r="C203" s="209" t="s">
        <v>353</v>
      </c>
      <c r="D203" s="300">
        <f>5+5</f>
        <v>10</v>
      </c>
      <c r="E203" s="305">
        <f>410.5+394.5</f>
        <v>805</v>
      </c>
      <c r="F203" s="312" t="s">
        <v>354</v>
      </c>
      <c r="G203" s="286"/>
      <c r="H203" s="273"/>
      <c r="I203" s="356"/>
      <c r="J203" s="273"/>
      <c r="K203" s="273"/>
    </row>
    <row r="204" spans="1:13">
      <c r="A204" s="226">
        <v>37</v>
      </c>
      <c r="B204" s="206" t="s">
        <v>390</v>
      </c>
      <c r="C204" s="209" t="s">
        <v>353</v>
      </c>
      <c r="D204" s="300">
        <v>1</v>
      </c>
      <c r="E204" s="305">
        <v>213.02</v>
      </c>
      <c r="F204" s="312" t="s">
        <v>354</v>
      </c>
      <c r="G204" s="286"/>
      <c r="H204" s="273"/>
      <c r="I204" s="356"/>
      <c r="J204" s="273"/>
      <c r="K204" s="273"/>
    </row>
    <row r="205" spans="1:13" s="1" customFormat="1" ht="25.5">
      <c r="A205" s="226">
        <v>38</v>
      </c>
      <c r="B205" s="316" t="s">
        <v>720</v>
      </c>
      <c r="C205" s="355" t="s">
        <v>353</v>
      </c>
      <c r="D205" s="101">
        <v>6</v>
      </c>
      <c r="E205" s="315">
        <v>514.02</v>
      </c>
      <c r="F205" s="342" t="s">
        <v>354</v>
      </c>
      <c r="G205" s="286"/>
      <c r="H205" s="273"/>
      <c r="I205" s="356"/>
      <c r="J205" s="377"/>
      <c r="K205" s="273"/>
    </row>
    <row r="206" spans="1:13" s="1" customFormat="1" ht="26.25" thickBot="1">
      <c r="A206" s="226">
        <v>39</v>
      </c>
      <c r="B206" s="316" t="s">
        <v>783</v>
      </c>
      <c r="C206" s="355" t="s">
        <v>353</v>
      </c>
      <c r="D206" s="101">
        <v>5</v>
      </c>
      <c r="E206" s="315">
        <v>349.95</v>
      </c>
      <c r="F206" s="342" t="s">
        <v>354</v>
      </c>
      <c r="G206" s="286"/>
      <c r="H206" s="273"/>
      <c r="I206" s="356"/>
      <c r="J206" s="273"/>
      <c r="K206" s="273"/>
    </row>
    <row r="207" spans="1:13">
      <c r="A207" s="454"/>
      <c r="B207" s="456" t="s">
        <v>392</v>
      </c>
      <c r="C207" s="477"/>
      <c r="D207" s="479"/>
      <c r="E207" s="481">
        <f>SUM(E209:E221)</f>
        <v>37601.44999999999</v>
      </c>
      <c r="F207" s="466"/>
      <c r="G207" s="286"/>
      <c r="H207" s="534"/>
      <c r="I207" s="553"/>
      <c r="J207" s="554"/>
      <c r="K207" s="273"/>
    </row>
    <row r="208" spans="1:13" ht="15.75" thickBot="1">
      <c r="A208" s="455"/>
      <c r="B208" s="457"/>
      <c r="C208" s="478"/>
      <c r="D208" s="480"/>
      <c r="E208" s="482"/>
      <c r="F208" s="467"/>
      <c r="G208" s="286"/>
      <c r="H208" s="534"/>
      <c r="I208" s="553"/>
      <c r="J208" s="555"/>
      <c r="K208" s="273"/>
    </row>
    <row r="209" spans="1:11" ht="16.5" customHeight="1">
      <c r="A209" s="468">
        <v>1</v>
      </c>
      <c r="B209" s="470" t="s">
        <v>785</v>
      </c>
      <c r="C209" s="472" t="s">
        <v>353</v>
      </c>
      <c r="D209" s="101">
        <f>1+1</f>
        <v>2</v>
      </c>
      <c r="E209" s="315">
        <f>11300+9600</f>
        <v>20900</v>
      </c>
      <c r="F209" s="474" t="s">
        <v>752</v>
      </c>
      <c r="G209" s="292"/>
      <c r="H209" s="360"/>
      <c r="I209" s="361"/>
      <c r="J209" s="378"/>
      <c r="K209" s="273"/>
    </row>
    <row r="210" spans="1:11" ht="1.5" hidden="1" customHeight="1">
      <c r="A210" s="469"/>
      <c r="B210" s="471"/>
      <c r="C210" s="473"/>
      <c r="D210" s="300"/>
      <c r="E210" s="300"/>
      <c r="F210" s="475"/>
      <c r="G210" s="292"/>
      <c r="H210" s="273"/>
      <c r="I210" s="273"/>
      <c r="J210" s="273"/>
      <c r="K210" s="273"/>
    </row>
    <row r="211" spans="1:11" s="1" customFormat="1" ht="14.25" customHeight="1">
      <c r="A211" s="317">
        <v>2</v>
      </c>
      <c r="B211" s="318" t="s">
        <v>706</v>
      </c>
      <c r="C211" s="319" t="s">
        <v>353</v>
      </c>
      <c r="D211" s="300">
        <v>1</v>
      </c>
      <c r="E211" s="300">
        <v>269.70999999999998</v>
      </c>
      <c r="F211" s="475"/>
      <c r="G211" s="292"/>
      <c r="H211" s="273"/>
      <c r="I211" s="273"/>
      <c r="J211" s="273"/>
      <c r="K211" s="273"/>
    </row>
    <row r="212" spans="1:11">
      <c r="A212" s="205">
        <v>3</v>
      </c>
      <c r="B212" s="206" t="s">
        <v>393</v>
      </c>
      <c r="C212" s="209" t="s">
        <v>353</v>
      </c>
      <c r="D212" s="300">
        <v>1</v>
      </c>
      <c r="E212" s="300">
        <v>417.6</v>
      </c>
      <c r="F212" s="475"/>
      <c r="G212" s="292"/>
      <c r="H212" s="273"/>
      <c r="I212" s="273"/>
      <c r="J212" s="273"/>
      <c r="K212" s="273"/>
    </row>
    <row r="213" spans="1:11" s="1" customFormat="1">
      <c r="A213" s="205">
        <v>4</v>
      </c>
      <c r="B213" s="206" t="s">
        <v>564</v>
      </c>
      <c r="C213" s="209" t="s">
        <v>353</v>
      </c>
      <c r="D213" s="300">
        <f>2+2</f>
        <v>4</v>
      </c>
      <c r="E213" s="300">
        <f>649.38+526.52</f>
        <v>1175.9000000000001</v>
      </c>
      <c r="F213" s="475"/>
      <c r="G213" s="292"/>
      <c r="H213" s="273"/>
      <c r="I213" s="273"/>
      <c r="J213" s="273"/>
      <c r="K213" s="273"/>
    </row>
    <row r="214" spans="1:11">
      <c r="A214" s="205">
        <v>5</v>
      </c>
      <c r="B214" s="206" t="s">
        <v>704</v>
      </c>
      <c r="C214" s="209" t="s">
        <v>353</v>
      </c>
      <c r="D214" s="300">
        <v>1</v>
      </c>
      <c r="E214" s="300">
        <v>269.70999999999998</v>
      </c>
      <c r="F214" s="475"/>
      <c r="G214" s="292"/>
      <c r="H214" s="273"/>
      <c r="I214" s="273"/>
      <c r="J214" s="273"/>
      <c r="K214" s="273"/>
    </row>
    <row r="215" spans="1:11">
      <c r="A215" s="317">
        <v>6</v>
      </c>
      <c r="B215" s="318" t="s">
        <v>454</v>
      </c>
      <c r="C215" s="209" t="s">
        <v>353</v>
      </c>
      <c r="D215" s="300">
        <f>1+1</f>
        <v>2</v>
      </c>
      <c r="E215" s="300">
        <f>641.02+641.01</f>
        <v>1282.03</v>
      </c>
      <c r="F215" s="475"/>
      <c r="G215" s="292"/>
      <c r="H215" s="273"/>
      <c r="I215" s="273"/>
      <c r="J215" s="356"/>
      <c r="K215" s="273"/>
    </row>
    <row r="216" spans="1:11" s="1" customFormat="1">
      <c r="A216" s="227">
        <v>7</v>
      </c>
      <c r="B216" s="318" t="s">
        <v>454</v>
      </c>
      <c r="C216" s="209" t="s">
        <v>353</v>
      </c>
      <c r="D216" s="300">
        <f>1+1</f>
        <v>2</v>
      </c>
      <c r="E216" s="300">
        <f>693.01*2</f>
        <v>1386.02</v>
      </c>
      <c r="F216" s="475"/>
      <c r="G216" s="292"/>
      <c r="H216" s="273"/>
      <c r="I216" s="273"/>
      <c r="J216" s="273"/>
      <c r="K216" s="273"/>
    </row>
    <row r="217" spans="1:11" s="1" customFormat="1">
      <c r="A217" s="227">
        <v>8</v>
      </c>
      <c r="B217" s="214" t="s">
        <v>563</v>
      </c>
      <c r="C217" s="209" t="s">
        <v>353</v>
      </c>
      <c r="D217" s="300">
        <f>1+1+1+3</f>
        <v>6</v>
      </c>
      <c r="E217" s="300">
        <f>836.12+715.19+836.1+2201.49</f>
        <v>4588.8999999999996</v>
      </c>
      <c r="F217" s="475"/>
      <c r="G217" s="292"/>
      <c r="H217" s="273"/>
      <c r="I217" s="273"/>
      <c r="J217" s="273"/>
      <c r="K217" s="356"/>
    </row>
    <row r="218" spans="1:11" s="1" customFormat="1">
      <c r="A218" s="227">
        <v>9</v>
      </c>
      <c r="B218" s="206" t="s">
        <v>453</v>
      </c>
      <c r="C218" s="209" t="s">
        <v>353</v>
      </c>
      <c r="D218" s="300">
        <v>2</v>
      </c>
      <c r="E218" s="300">
        <f>649.46</f>
        <v>649.46</v>
      </c>
      <c r="F218" s="475"/>
      <c r="G218" s="292"/>
      <c r="H218" s="273"/>
      <c r="I218" s="273"/>
      <c r="J218" s="273"/>
      <c r="K218" s="273"/>
    </row>
    <row r="219" spans="1:11" s="1" customFormat="1">
      <c r="A219" s="227">
        <v>10</v>
      </c>
      <c r="B219" s="214" t="s">
        <v>453</v>
      </c>
      <c r="C219" s="209" t="s">
        <v>353</v>
      </c>
      <c r="D219" s="300">
        <f>1+2</f>
        <v>3</v>
      </c>
      <c r="E219" s="300">
        <f>734.77+1469.52</f>
        <v>2204.29</v>
      </c>
      <c r="F219" s="475"/>
      <c r="G219" s="292"/>
      <c r="H219" s="273"/>
      <c r="I219" s="273"/>
      <c r="J219" s="273"/>
      <c r="K219" s="273"/>
    </row>
    <row r="220" spans="1:11" s="1" customFormat="1">
      <c r="A220" s="227">
        <v>11</v>
      </c>
      <c r="B220" s="214" t="s">
        <v>516</v>
      </c>
      <c r="C220" s="222" t="s">
        <v>353</v>
      </c>
      <c r="D220" s="300">
        <f>1+1+2</f>
        <v>4</v>
      </c>
      <c r="E220" s="300">
        <f>548.74+548.74+3067.4</f>
        <v>4164.88</v>
      </c>
      <c r="F220" s="475"/>
      <c r="G220" s="292"/>
      <c r="H220" s="273"/>
      <c r="I220" s="273"/>
      <c r="J220" s="273"/>
      <c r="K220" s="273"/>
    </row>
    <row r="221" spans="1:11" s="1" customFormat="1" ht="15.75" thickBot="1">
      <c r="A221" s="227">
        <v>12</v>
      </c>
      <c r="B221" s="216" t="s">
        <v>394</v>
      </c>
      <c r="C221" s="222" t="s">
        <v>353</v>
      </c>
      <c r="D221" s="299">
        <f>2+1</f>
        <v>3</v>
      </c>
      <c r="E221" s="299">
        <f>195.3+97.65</f>
        <v>292.95000000000005</v>
      </c>
      <c r="F221" s="476"/>
      <c r="G221" s="292"/>
      <c r="H221" s="273"/>
      <c r="I221" s="273"/>
      <c r="J221" s="273"/>
      <c r="K221" s="273"/>
    </row>
    <row r="222" spans="1:11">
      <c r="A222" s="454"/>
      <c r="B222" s="456" t="s">
        <v>395</v>
      </c>
      <c r="C222" s="477"/>
      <c r="D222" s="479"/>
      <c r="E222" s="481">
        <f>SUM(E224:E225)</f>
        <v>3437.16</v>
      </c>
      <c r="F222" s="466"/>
      <c r="G222" s="286"/>
      <c r="H222" s="553"/>
      <c r="I222" s="552"/>
      <c r="J222" s="534"/>
      <c r="K222" s="273"/>
    </row>
    <row r="223" spans="1:11" ht="15.75" thickBot="1">
      <c r="A223" s="455"/>
      <c r="B223" s="457"/>
      <c r="C223" s="478"/>
      <c r="D223" s="480"/>
      <c r="E223" s="482"/>
      <c r="F223" s="467"/>
      <c r="G223" s="286"/>
      <c r="H223" s="553"/>
      <c r="I223" s="553"/>
      <c r="J223" s="534"/>
      <c r="K223" s="273"/>
    </row>
    <row r="224" spans="1:11" ht="18.75" customHeight="1">
      <c r="A224" s="201">
        <v>1</v>
      </c>
      <c r="B224" s="202" t="s">
        <v>598</v>
      </c>
      <c r="C224" s="217" t="s">
        <v>353</v>
      </c>
      <c r="D224" s="274">
        <v>1</v>
      </c>
      <c r="E224" s="228">
        <v>539</v>
      </c>
      <c r="F224" s="556" t="s">
        <v>396</v>
      </c>
      <c r="G224" s="293"/>
      <c r="H224" s="273"/>
      <c r="I224" s="356"/>
      <c r="J224" s="273"/>
      <c r="K224" s="273"/>
    </row>
    <row r="225" spans="1:12" ht="21" customHeight="1" thickBot="1">
      <c r="A225" s="213">
        <v>2</v>
      </c>
      <c r="B225" s="216" t="s">
        <v>397</v>
      </c>
      <c r="C225" s="222" t="s">
        <v>398</v>
      </c>
      <c r="D225" s="223">
        <v>60.02</v>
      </c>
      <c r="E225" s="215">
        <v>2898.16</v>
      </c>
      <c r="F225" s="557"/>
      <c r="G225" s="293"/>
      <c r="H225" s="360"/>
      <c r="I225" s="360"/>
      <c r="J225" s="360"/>
      <c r="K225" s="273"/>
    </row>
    <row r="226" spans="1:12">
      <c r="A226" s="454"/>
      <c r="B226" s="456" t="s">
        <v>399</v>
      </c>
      <c r="C226" s="477"/>
      <c r="D226" s="479"/>
      <c r="E226" s="481">
        <f>SUM(E228:E260)</f>
        <v>32047.989999999998</v>
      </c>
      <c r="F226" s="466"/>
      <c r="G226" s="286"/>
      <c r="H226" s="534"/>
      <c r="I226" s="553"/>
      <c r="J226" s="554"/>
      <c r="K226" s="273"/>
    </row>
    <row r="227" spans="1:12" ht="15.75" thickBot="1">
      <c r="A227" s="455"/>
      <c r="B227" s="457"/>
      <c r="C227" s="478"/>
      <c r="D227" s="480"/>
      <c r="E227" s="482"/>
      <c r="F227" s="467"/>
      <c r="G227" s="286"/>
      <c r="H227" s="534"/>
      <c r="I227" s="553"/>
      <c r="J227" s="555"/>
      <c r="K227" s="273"/>
    </row>
    <row r="228" spans="1:12">
      <c r="A228" s="205">
        <v>1</v>
      </c>
      <c r="B228" s="206" t="s">
        <v>694</v>
      </c>
      <c r="C228" s="225" t="s">
        <v>400</v>
      </c>
      <c r="D228" s="300">
        <f>20</f>
        <v>20</v>
      </c>
      <c r="E228" s="305">
        <v>8754.4</v>
      </c>
      <c r="F228" s="208" t="s">
        <v>354</v>
      </c>
      <c r="G228" s="283"/>
      <c r="H228" s="273"/>
      <c r="I228" s="356"/>
      <c r="J228" s="273"/>
      <c r="K228" s="273"/>
    </row>
    <row r="229" spans="1:12" s="1" customFormat="1">
      <c r="A229" s="205">
        <v>2</v>
      </c>
      <c r="B229" s="206" t="s">
        <v>629</v>
      </c>
      <c r="C229" s="225" t="s">
        <v>400</v>
      </c>
      <c r="D229" s="300">
        <v>20</v>
      </c>
      <c r="E229" s="305">
        <v>6258</v>
      </c>
      <c r="F229" s="208" t="s">
        <v>354</v>
      </c>
      <c r="G229" s="283"/>
      <c r="H229" s="273"/>
      <c r="I229" s="356"/>
      <c r="J229" s="273"/>
      <c r="K229" s="273"/>
      <c r="L229" s="74"/>
    </row>
    <row r="230" spans="1:12">
      <c r="A230" s="205">
        <v>3</v>
      </c>
      <c r="B230" s="206" t="s">
        <v>528</v>
      </c>
      <c r="C230" s="225" t="s">
        <v>353</v>
      </c>
      <c r="D230" s="300">
        <v>10</v>
      </c>
      <c r="E230" s="305">
        <v>1850</v>
      </c>
      <c r="F230" s="208" t="s">
        <v>354</v>
      </c>
      <c r="G230" s="283"/>
      <c r="H230" s="273"/>
      <c r="I230" s="356"/>
      <c r="J230" s="273"/>
      <c r="K230" s="273"/>
    </row>
    <row r="231" spans="1:12" s="1" customFormat="1">
      <c r="A231" s="205">
        <v>4</v>
      </c>
      <c r="B231" s="206" t="s">
        <v>531</v>
      </c>
      <c r="C231" s="225" t="s">
        <v>353</v>
      </c>
      <c r="D231" s="300">
        <v>4</v>
      </c>
      <c r="E231" s="305">
        <v>444</v>
      </c>
      <c r="F231" s="208" t="s">
        <v>354</v>
      </c>
      <c r="G231" s="283"/>
      <c r="H231" s="273"/>
      <c r="I231" s="356"/>
      <c r="J231" s="273"/>
      <c r="K231" s="273"/>
    </row>
    <row r="232" spans="1:12" s="1" customFormat="1">
      <c r="A232" s="205">
        <v>5</v>
      </c>
      <c r="B232" s="206" t="s">
        <v>492</v>
      </c>
      <c r="C232" s="225" t="s">
        <v>355</v>
      </c>
      <c r="D232" s="300">
        <v>3</v>
      </c>
      <c r="E232" s="305">
        <v>174</v>
      </c>
      <c r="F232" s="208" t="s">
        <v>354</v>
      </c>
      <c r="G232" s="283"/>
      <c r="H232" s="273"/>
      <c r="I232" s="356"/>
      <c r="J232" s="273"/>
      <c r="K232" s="273"/>
    </row>
    <row r="233" spans="1:12" s="1" customFormat="1">
      <c r="A233" s="205">
        <v>6</v>
      </c>
      <c r="B233" s="206" t="s">
        <v>573</v>
      </c>
      <c r="C233" s="225" t="s">
        <v>353</v>
      </c>
      <c r="D233" s="300">
        <v>1</v>
      </c>
      <c r="E233" s="305">
        <v>30</v>
      </c>
      <c r="F233" s="208" t="s">
        <v>354</v>
      </c>
      <c r="G233" s="283"/>
      <c r="H233" s="273"/>
      <c r="I233" s="356"/>
      <c r="J233" s="273"/>
      <c r="K233" s="273"/>
    </row>
    <row r="234" spans="1:12" s="1" customFormat="1" ht="25.5">
      <c r="A234" s="354">
        <v>7</v>
      </c>
      <c r="B234" s="316" t="s">
        <v>572</v>
      </c>
      <c r="C234" s="280" t="s">
        <v>353</v>
      </c>
      <c r="D234" s="101">
        <v>1</v>
      </c>
      <c r="E234" s="315">
        <v>100</v>
      </c>
      <c r="F234" s="211" t="s">
        <v>354</v>
      </c>
      <c r="G234" s="283"/>
      <c r="H234" s="273"/>
      <c r="I234" s="356"/>
      <c r="J234" s="273"/>
      <c r="K234" s="273"/>
    </row>
    <row r="235" spans="1:12">
      <c r="A235" s="205">
        <v>8</v>
      </c>
      <c r="B235" s="206" t="s">
        <v>401</v>
      </c>
      <c r="C235" s="225" t="s">
        <v>353</v>
      </c>
      <c r="D235" s="300">
        <f>1+1</f>
        <v>2</v>
      </c>
      <c r="E235" s="305">
        <f>187+259.49+6.51</f>
        <v>453</v>
      </c>
      <c r="F235" s="208" t="s">
        <v>530</v>
      </c>
      <c r="G235" s="283"/>
      <c r="H235" s="273"/>
      <c r="I235" s="356"/>
      <c r="J235" s="273"/>
      <c r="K235" s="273"/>
    </row>
    <row r="236" spans="1:12">
      <c r="A236" s="205">
        <v>9</v>
      </c>
      <c r="B236" s="206" t="s">
        <v>402</v>
      </c>
      <c r="C236" s="225" t="s">
        <v>353</v>
      </c>
      <c r="D236" s="300">
        <f>24+10</f>
        <v>34</v>
      </c>
      <c r="E236" s="305">
        <f>174+180</f>
        <v>354</v>
      </c>
      <c r="F236" s="208" t="s">
        <v>354</v>
      </c>
      <c r="G236" s="283"/>
      <c r="H236" s="273"/>
      <c r="I236" s="356"/>
      <c r="J236" s="273"/>
      <c r="K236" s="273"/>
    </row>
    <row r="237" spans="1:12" s="1" customFormat="1">
      <c r="A237" s="205">
        <v>10</v>
      </c>
      <c r="B237" s="206" t="s">
        <v>491</v>
      </c>
      <c r="C237" s="225" t="s">
        <v>353</v>
      </c>
      <c r="D237" s="300">
        <v>10</v>
      </c>
      <c r="E237" s="305">
        <v>311</v>
      </c>
      <c r="F237" s="208" t="s">
        <v>354</v>
      </c>
      <c r="G237" s="283"/>
      <c r="H237" s="273"/>
      <c r="I237" s="356"/>
      <c r="J237" s="273"/>
      <c r="K237" s="273"/>
    </row>
    <row r="238" spans="1:12" s="1" customFormat="1">
      <c r="A238" s="205">
        <v>11</v>
      </c>
      <c r="B238" s="206" t="s">
        <v>689</v>
      </c>
      <c r="C238" s="225" t="s">
        <v>355</v>
      </c>
      <c r="D238" s="300">
        <f>1</f>
        <v>1</v>
      </c>
      <c r="E238" s="305">
        <f>169</f>
        <v>169</v>
      </c>
      <c r="F238" s="208" t="s">
        <v>354</v>
      </c>
      <c r="G238" s="283"/>
      <c r="H238" s="273"/>
      <c r="I238" s="356"/>
      <c r="J238" s="273"/>
      <c r="K238" s="273"/>
    </row>
    <row r="239" spans="1:12" s="1" customFormat="1">
      <c r="A239" s="205">
        <v>12</v>
      </c>
      <c r="B239" s="206" t="s">
        <v>630</v>
      </c>
      <c r="C239" s="225" t="s">
        <v>355</v>
      </c>
      <c r="D239" s="300">
        <v>2</v>
      </c>
      <c r="E239" s="305">
        <v>1384</v>
      </c>
      <c r="F239" s="208" t="s">
        <v>354</v>
      </c>
      <c r="G239" s="283"/>
      <c r="H239" s="273"/>
      <c r="I239" s="356"/>
      <c r="J239" s="273"/>
      <c r="K239" s="356"/>
    </row>
    <row r="240" spans="1:12">
      <c r="A240" s="205">
        <v>13</v>
      </c>
      <c r="B240" s="206" t="s">
        <v>403</v>
      </c>
      <c r="C240" s="225" t="s">
        <v>353</v>
      </c>
      <c r="D240" s="300">
        <v>20</v>
      </c>
      <c r="E240" s="305">
        <v>540</v>
      </c>
      <c r="F240" s="208" t="s">
        <v>354</v>
      </c>
      <c r="G240" s="283"/>
      <c r="H240" s="273"/>
      <c r="I240" s="356"/>
      <c r="J240" s="273"/>
      <c r="K240" s="273"/>
    </row>
    <row r="241" spans="1:11" s="1" customFormat="1">
      <c r="A241" s="205">
        <v>14</v>
      </c>
      <c r="B241" s="206" t="s">
        <v>493</v>
      </c>
      <c r="C241" s="225" t="s">
        <v>353</v>
      </c>
      <c r="D241" s="300">
        <v>6</v>
      </c>
      <c r="E241" s="305">
        <v>920.94</v>
      </c>
      <c r="F241" s="208" t="s">
        <v>570</v>
      </c>
      <c r="G241" s="283"/>
      <c r="H241" s="273"/>
      <c r="I241" s="356"/>
      <c r="J241" s="273"/>
      <c r="K241" s="273"/>
    </row>
    <row r="242" spans="1:11" s="1" customFormat="1">
      <c r="A242" s="205">
        <v>15</v>
      </c>
      <c r="B242" s="206" t="s">
        <v>494</v>
      </c>
      <c r="C242" s="225" t="s">
        <v>353</v>
      </c>
      <c r="D242" s="300">
        <v>3</v>
      </c>
      <c r="E242" s="305">
        <v>684</v>
      </c>
      <c r="F242" s="208" t="s">
        <v>354</v>
      </c>
      <c r="G242" s="283"/>
      <c r="H242" s="273"/>
      <c r="I242" s="356"/>
      <c r="J242" s="273"/>
      <c r="K242" s="273"/>
    </row>
    <row r="243" spans="1:11">
      <c r="A243" s="205">
        <v>16</v>
      </c>
      <c r="B243" s="206" t="s">
        <v>404</v>
      </c>
      <c r="C243" s="225" t="s">
        <v>353</v>
      </c>
      <c r="D243" s="300">
        <v>2</v>
      </c>
      <c r="E243" s="305">
        <v>456</v>
      </c>
      <c r="F243" s="208" t="s">
        <v>354</v>
      </c>
      <c r="G243" s="283"/>
      <c r="H243" s="273"/>
      <c r="I243" s="356"/>
      <c r="J243" s="273"/>
      <c r="K243" s="273"/>
    </row>
    <row r="244" spans="1:11">
      <c r="A244" s="205">
        <v>17</v>
      </c>
      <c r="B244" s="206" t="s">
        <v>703</v>
      </c>
      <c r="C244" s="225" t="s">
        <v>353</v>
      </c>
      <c r="D244" s="300">
        <v>5</v>
      </c>
      <c r="E244" s="305">
        <v>180</v>
      </c>
      <c r="F244" s="208" t="s">
        <v>354</v>
      </c>
      <c r="G244" s="283"/>
      <c r="H244" s="273"/>
      <c r="I244" s="356"/>
      <c r="J244" s="273"/>
      <c r="K244" s="273"/>
    </row>
    <row r="245" spans="1:11" ht="24.75">
      <c r="A245" s="354">
        <v>18</v>
      </c>
      <c r="B245" s="316" t="s">
        <v>776</v>
      </c>
      <c r="C245" s="280" t="s">
        <v>353</v>
      </c>
      <c r="D245" s="101">
        <f>1+1+1+1</f>
        <v>4</v>
      </c>
      <c r="E245" s="315">
        <f>34.2+45.1+82.4+148</f>
        <v>309.70000000000005</v>
      </c>
      <c r="F245" s="211" t="s">
        <v>354</v>
      </c>
      <c r="G245" s="283"/>
      <c r="H245" s="273"/>
      <c r="I245" s="356"/>
      <c r="J245" s="372"/>
      <c r="K245" s="273"/>
    </row>
    <row r="246" spans="1:11" s="1" customFormat="1">
      <c r="A246" s="205">
        <v>19</v>
      </c>
      <c r="B246" s="206" t="s">
        <v>495</v>
      </c>
      <c r="C246" s="225" t="s">
        <v>353</v>
      </c>
      <c r="D246" s="300">
        <v>1</v>
      </c>
      <c r="E246" s="305">
        <v>162.79</v>
      </c>
      <c r="F246" s="208" t="s">
        <v>354</v>
      </c>
      <c r="G246" s="283"/>
      <c r="H246" s="273"/>
      <c r="I246" s="356"/>
      <c r="J246" s="273"/>
      <c r="K246" s="273"/>
    </row>
    <row r="247" spans="1:11" s="1" customFormat="1">
      <c r="A247" s="205">
        <v>20</v>
      </c>
      <c r="B247" s="206" t="s">
        <v>497</v>
      </c>
      <c r="C247" s="225" t="s">
        <v>496</v>
      </c>
      <c r="D247" s="300">
        <f>1+2+2+2</f>
        <v>7</v>
      </c>
      <c r="E247" s="305">
        <f>144.99+171+272+282.02</f>
        <v>870.01</v>
      </c>
      <c r="F247" s="208" t="s">
        <v>354</v>
      </c>
      <c r="G247" s="283"/>
      <c r="H247" s="273"/>
      <c r="I247" s="356"/>
      <c r="J247" s="372"/>
      <c r="K247" s="356"/>
    </row>
    <row r="248" spans="1:11" s="1" customFormat="1">
      <c r="A248" s="205">
        <v>21</v>
      </c>
      <c r="B248" s="206" t="s">
        <v>541</v>
      </c>
      <c r="C248" s="225" t="s">
        <v>353</v>
      </c>
      <c r="D248" s="300">
        <v>1</v>
      </c>
      <c r="E248" s="305">
        <v>172</v>
      </c>
      <c r="F248" s="208" t="s">
        <v>354</v>
      </c>
      <c r="G248" s="283"/>
      <c r="H248" s="273"/>
      <c r="I248" s="356"/>
      <c r="J248" s="273"/>
      <c r="K248" s="273"/>
    </row>
    <row r="249" spans="1:11" s="1" customFormat="1">
      <c r="A249" s="205">
        <v>22</v>
      </c>
      <c r="B249" s="206" t="s">
        <v>537</v>
      </c>
      <c r="C249" s="225" t="s">
        <v>355</v>
      </c>
      <c r="D249" s="300">
        <f>5+2</f>
        <v>7</v>
      </c>
      <c r="E249" s="305">
        <f>484+187</f>
        <v>671</v>
      </c>
      <c r="F249" s="208" t="s">
        <v>354</v>
      </c>
      <c r="G249" s="283"/>
      <c r="H249" s="273"/>
      <c r="I249" s="356"/>
      <c r="J249" s="273"/>
      <c r="K249" s="273"/>
    </row>
    <row r="250" spans="1:11" s="1" customFormat="1">
      <c r="A250" s="205">
        <v>23</v>
      </c>
      <c r="B250" s="206" t="s">
        <v>535</v>
      </c>
      <c r="C250" s="225" t="s">
        <v>355</v>
      </c>
      <c r="D250" s="300">
        <v>3</v>
      </c>
      <c r="E250" s="305">
        <v>921</v>
      </c>
      <c r="F250" s="208" t="s">
        <v>354</v>
      </c>
      <c r="G250" s="283"/>
      <c r="H250" s="273"/>
      <c r="I250" s="356"/>
      <c r="J250" s="273"/>
      <c r="K250" s="273"/>
    </row>
    <row r="251" spans="1:11">
      <c r="A251" s="205">
        <v>24</v>
      </c>
      <c r="B251" s="206" t="s">
        <v>540</v>
      </c>
      <c r="C251" s="225" t="s">
        <v>353</v>
      </c>
      <c r="D251" s="300">
        <v>5</v>
      </c>
      <c r="E251" s="305">
        <v>1085</v>
      </c>
      <c r="F251" s="208" t="s">
        <v>354</v>
      </c>
      <c r="G251" s="283"/>
      <c r="H251" s="273"/>
      <c r="I251" s="356"/>
      <c r="J251" s="273"/>
      <c r="K251" s="273"/>
    </row>
    <row r="252" spans="1:11" s="1" customFormat="1">
      <c r="A252" s="205">
        <v>25</v>
      </c>
      <c r="B252" s="206" t="s">
        <v>498</v>
      </c>
      <c r="C252" s="225" t="s">
        <v>353</v>
      </c>
      <c r="D252" s="300">
        <v>2</v>
      </c>
      <c r="E252" s="305">
        <f>102+46</f>
        <v>148</v>
      </c>
      <c r="F252" s="208" t="s">
        <v>354</v>
      </c>
      <c r="G252" s="283"/>
      <c r="H252" s="273"/>
      <c r="I252" s="356"/>
      <c r="J252" s="273"/>
      <c r="K252" s="273"/>
    </row>
    <row r="253" spans="1:11">
      <c r="A253" s="205">
        <v>26</v>
      </c>
      <c r="B253" s="206" t="s">
        <v>405</v>
      </c>
      <c r="C253" s="225" t="s">
        <v>353</v>
      </c>
      <c r="D253" s="300">
        <f>2+1+1+1</f>
        <v>5</v>
      </c>
      <c r="E253" s="305">
        <f>116+159+275+78</f>
        <v>628</v>
      </c>
      <c r="F253" s="208" t="s">
        <v>354</v>
      </c>
      <c r="G253" s="283"/>
      <c r="H253" s="273"/>
      <c r="I253" s="356"/>
      <c r="J253" s="273"/>
      <c r="K253" s="273"/>
    </row>
    <row r="254" spans="1:11">
      <c r="A254" s="205">
        <v>27</v>
      </c>
      <c r="B254" s="206" t="s">
        <v>588</v>
      </c>
      <c r="C254" s="225" t="s">
        <v>496</v>
      </c>
      <c r="D254" s="300">
        <v>3</v>
      </c>
      <c r="E254" s="305">
        <v>162.30000000000001</v>
      </c>
      <c r="F254" s="208" t="s">
        <v>354</v>
      </c>
      <c r="G254" s="283"/>
      <c r="H254" s="273"/>
      <c r="I254" s="356"/>
      <c r="J254" s="273"/>
      <c r="K254" s="273"/>
    </row>
    <row r="255" spans="1:11" s="1" customFormat="1">
      <c r="A255" s="205">
        <v>28</v>
      </c>
      <c r="B255" s="206" t="s">
        <v>406</v>
      </c>
      <c r="C255" s="225" t="s">
        <v>353</v>
      </c>
      <c r="D255" s="300">
        <f>50+3+100</f>
        <v>153</v>
      </c>
      <c r="E255" s="305">
        <f>282.5+26.55+435</f>
        <v>744.05</v>
      </c>
      <c r="F255" s="208" t="s">
        <v>354</v>
      </c>
      <c r="G255" s="283"/>
      <c r="H255" s="273"/>
      <c r="I255" s="356"/>
      <c r="J255" s="372"/>
      <c r="K255" s="273"/>
    </row>
    <row r="256" spans="1:11">
      <c r="A256" s="205">
        <v>30</v>
      </c>
      <c r="B256" s="206" t="s">
        <v>709</v>
      </c>
      <c r="C256" s="225" t="s">
        <v>355</v>
      </c>
      <c r="D256" s="300">
        <v>10</v>
      </c>
      <c r="E256" s="305">
        <v>211</v>
      </c>
      <c r="F256" s="208" t="s">
        <v>354</v>
      </c>
      <c r="G256" s="283"/>
      <c r="H256" s="273"/>
      <c r="I256" s="356"/>
      <c r="J256" s="273"/>
      <c r="K256" s="273"/>
    </row>
    <row r="257" spans="1:13" s="1" customFormat="1">
      <c r="A257" s="205">
        <v>31</v>
      </c>
      <c r="B257" s="206" t="s">
        <v>690</v>
      </c>
      <c r="C257" s="225" t="s">
        <v>355</v>
      </c>
      <c r="D257" s="300">
        <v>3</v>
      </c>
      <c r="E257" s="305">
        <v>582</v>
      </c>
      <c r="F257" s="208" t="s">
        <v>354</v>
      </c>
      <c r="G257" s="283"/>
      <c r="H257" s="273"/>
      <c r="I257" s="356"/>
      <c r="J257" s="273"/>
      <c r="K257" s="273"/>
    </row>
    <row r="258" spans="1:13" s="1" customFormat="1" ht="25.5">
      <c r="A258" s="354">
        <v>32</v>
      </c>
      <c r="B258" s="316" t="s">
        <v>784</v>
      </c>
      <c r="C258" s="280" t="s">
        <v>355</v>
      </c>
      <c r="D258" s="101">
        <v>2</v>
      </c>
      <c r="E258" s="315">
        <v>78.8</v>
      </c>
      <c r="F258" s="211" t="s">
        <v>354</v>
      </c>
      <c r="G258" s="283"/>
      <c r="H258" s="273"/>
      <c r="I258" s="356"/>
      <c r="J258" s="273"/>
      <c r="K258" s="273"/>
    </row>
    <row r="259" spans="1:13" s="1" customFormat="1">
      <c r="A259" s="213">
        <v>33</v>
      </c>
      <c r="B259" s="206" t="s">
        <v>679</v>
      </c>
      <c r="C259" s="225" t="s">
        <v>355</v>
      </c>
      <c r="D259" s="300">
        <v>5</v>
      </c>
      <c r="E259" s="305">
        <v>890</v>
      </c>
      <c r="F259" s="230" t="s">
        <v>529</v>
      </c>
      <c r="G259" s="283"/>
      <c r="H259" s="273"/>
      <c r="I259" s="356"/>
      <c r="J259" s="273"/>
      <c r="K259" s="273"/>
      <c r="M259" s="74"/>
    </row>
    <row r="260" spans="1:13" s="1" customFormat="1" ht="15.75" thickBot="1">
      <c r="A260" s="213">
        <v>34</v>
      </c>
      <c r="B260" s="216" t="s">
        <v>571</v>
      </c>
      <c r="C260" s="225" t="s">
        <v>355</v>
      </c>
      <c r="D260" s="300">
        <v>1</v>
      </c>
      <c r="E260" s="305">
        <v>1350</v>
      </c>
      <c r="F260" s="230" t="s">
        <v>584</v>
      </c>
      <c r="G260" s="283"/>
      <c r="H260" s="273"/>
      <c r="I260" s="356"/>
      <c r="J260" s="273"/>
      <c r="K260" s="273"/>
    </row>
    <row r="261" spans="1:13">
      <c r="A261" s="454"/>
      <c r="B261" s="487" t="s">
        <v>407</v>
      </c>
      <c r="C261" s="477"/>
      <c r="D261" s="479"/>
      <c r="E261" s="481">
        <f>SUM(E263:E275)</f>
        <v>40367.24</v>
      </c>
      <c r="F261" s="466"/>
      <c r="G261" s="286"/>
      <c r="H261" s="534"/>
      <c r="I261" s="552"/>
      <c r="J261" s="554"/>
      <c r="K261" s="273"/>
    </row>
    <row r="262" spans="1:13" ht="15.75" thickBot="1">
      <c r="A262" s="455"/>
      <c r="B262" s="488"/>
      <c r="C262" s="478"/>
      <c r="D262" s="480"/>
      <c r="E262" s="482"/>
      <c r="F262" s="467"/>
      <c r="G262" s="286"/>
      <c r="H262" s="534"/>
      <c r="I262" s="552"/>
      <c r="J262" s="555"/>
      <c r="K262" s="273"/>
    </row>
    <row r="263" spans="1:13">
      <c r="A263" s="205">
        <v>1</v>
      </c>
      <c r="B263" s="316" t="s">
        <v>561</v>
      </c>
      <c r="C263" s="209" t="s">
        <v>353</v>
      </c>
      <c r="D263" s="300">
        <v>3</v>
      </c>
      <c r="E263" s="300">
        <v>2664.96</v>
      </c>
      <c r="F263" s="211" t="s">
        <v>408</v>
      </c>
      <c r="G263" s="285"/>
      <c r="H263" s="273"/>
      <c r="I263" s="273"/>
      <c r="J263" s="375"/>
      <c r="K263" s="273"/>
    </row>
    <row r="264" spans="1:13">
      <c r="A264" s="205">
        <v>2</v>
      </c>
      <c r="B264" s="218" t="s">
        <v>721</v>
      </c>
      <c r="C264" s="209" t="s">
        <v>353</v>
      </c>
      <c r="D264" s="300">
        <f>2+1</f>
        <v>3</v>
      </c>
      <c r="E264" s="300">
        <f>1975.04+987.52</f>
        <v>2962.56</v>
      </c>
      <c r="F264" s="211" t="s">
        <v>408</v>
      </c>
      <c r="G264" s="285"/>
      <c r="H264" s="273"/>
      <c r="I264" s="273"/>
      <c r="J264" s="375"/>
      <c r="K264" s="273"/>
    </row>
    <row r="265" spans="1:13">
      <c r="A265" s="205">
        <v>3</v>
      </c>
      <c r="B265" s="218" t="s">
        <v>560</v>
      </c>
      <c r="C265" s="209" t="s">
        <v>353</v>
      </c>
      <c r="D265" s="300">
        <f>3+3+5</f>
        <v>11</v>
      </c>
      <c r="E265" s="305">
        <f>2556+1440+2400</f>
        <v>6396</v>
      </c>
      <c r="F265" s="211" t="s">
        <v>408</v>
      </c>
      <c r="G265" s="285"/>
      <c r="H265" s="273"/>
      <c r="I265" s="356"/>
      <c r="J265" s="273"/>
      <c r="K265" s="273"/>
    </row>
    <row r="266" spans="1:13" s="1" customFormat="1">
      <c r="A266" s="205">
        <v>4</v>
      </c>
      <c r="B266" s="218" t="s">
        <v>560</v>
      </c>
      <c r="C266" s="209" t="s">
        <v>353</v>
      </c>
      <c r="D266" s="300">
        <v>3</v>
      </c>
      <c r="E266" s="305">
        <v>2622.72</v>
      </c>
      <c r="F266" s="211" t="s">
        <v>408</v>
      </c>
      <c r="G266" s="285"/>
      <c r="H266" s="273"/>
      <c r="I266" s="356"/>
      <c r="J266" s="375"/>
      <c r="K266" s="273"/>
    </row>
    <row r="267" spans="1:13" s="1" customFormat="1">
      <c r="A267" s="205">
        <v>5</v>
      </c>
      <c r="B267" s="218" t="s">
        <v>697</v>
      </c>
      <c r="C267" s="209" t="s">
        <v>353</v>
      </c>
      <c r="D267" s="300">
        <v>3</v>
      </c>
      <c r="E267" s="305">
        <v>3243</v>
      </c>
      <c r="F267" s="211" t="s">
        <v>408</v>
      </c>
      <c r="G267" s="285"/>
      <c r="H267" s="273"/>
      <c r="I267" s="356"/>
      <c r="J267" s="273"/>
      <c r="K267" s="273"/>
    </row>
    <row r="268" spans="1:13">
      <c r="A268" s="205">
        <v>6</v>
      </c>
      <c r="B268" s="316" t="s">
        <v>562</v>
      </c>
      <c r="C268" s="209" t="s">
        <v>353</v>
      </c>
      <c r="D268" s="300">
        <v>3</v>
      </c>
      <c r="E268" s="305">
        <v>2169</v>
      </c>
      <c r="F268" s="211" t="s">
        <v>408</v>
      </c>
      <c r="G268" s="285"/>
      <c r="H268" s="273"/>
      <c r="I268" s="356"/>
      <c r="J268" s="273"/>
      <c r="K268" s="356"/>
      <c r="L268" s="67"/>
      <c r="M268" s="67"/>
    </row>
    <row r="269" spans="1:13">
      <c r="A269" s="205">
        <v>7</v>
      </c>
      <c r="B269" s="218" t="s">
        <v>722</v>
      </c>
      <c r="C269" s="209" t="s">
        <v>353</v>
      </c>
      <c r="D269" s="300"/>
      <c r="E269" s="305">
        <v>3950</v>
      </c>
      <c r="F269" s="211" t="s">
        <v>408</v>
      </c>
      <c r="G269" s="285"/>
      <c r="H269" s="273"/>
      <c r="I269" s="356"/>
      <c r="J269" s="375"/>
      <c r="K269" s="273"/>
      <c r="M269" s="67"/>
    </row>
    <row r="270" spans="1:13" ht="17.25" customHeight="1">
      <c r="A270" s="205">
        <v>8</v>
      </c>
      <c r="B270" s="316" t="s">
        <v>556</v>
      </c>
      <c r="C270" s="319" t="s">
        <v>353</v>
      </c>
      <c r="D270" s="101">
        <v>1</v>
      </c>
      <c r="E270" s="315">
        <v>1090</v>
      </c>
      <c r="F270" s="211" t="s">
        <v>557</v>
      </c>
      <c r="G270" s="285"/>
      <c r="H270" s="360"/>
      <c r="I270" s="361"/>
      <c r="J270" s="360"/>
      <c r="K270" s="273"/>
    </row>
    <row r="271" spans="1:13">
      <c r="A271" s="205">
        <v>9</v>
      </c>
      <c r="B271" s="218" t="s">
        <v>519</v>
      </c>
      <c r="C271" s="209" t="s">
        <v>353</v>
      </c>
      <c r="D271" s="300">
        <v>1</v>
      </c>
      <c r="E271" s="305">
        <v>800</v>
      </c>
      <c r="F271" s="211" t="s">
        <v>518</v>
      </c>
      <c r="G271" s="285"/>
      <c r="H271" s="273"/>
      <c r="I271" s="356"/>
      <c r="J271" s="273"/>
      <c r="K271" s="273"/>
    </row>
    <row r="272" spans="1:13">
      <c r="A272" s="205">
        <v>10</v>
      </c>
      <c r="B272" s="218" t="s">
        <v>521</v>
      </c>
      <c r="C272" s="209" t="s">
        <v>353</v>
      </c>
      <c r="D272" s="300">
        <v>1</v>
      </c>
      <c r="E272" s="305">
        <v>7880</v>
      </c>
      <c r="F272" s="211" t="s">
        <v>522</v>
      </c>
      <c r="G272" s="285"/>
      <c r="H272" s="273"/>
      <c r="I272" s="356"/>
      <c r="J272" s="273"/>
      <c r="K272" s="273"/>
    </row>
    <row r="273" spans="1:13">
      <c r="A273" s="205">
        <v>11</v>
      </c>
      <c r="B273" s="218" t="s">
        <v>542</v>
      </c>
      <c r="C273" s="209" t="s">
        <v>353</v>
      </c>
      <c r="D273" s="299">
        <v>1</v>
      </c>
      <c r="E273" s="302">
        <v>1080</v>
      </c>
      <c r="F273" s="211" t="s">
        <v>543</v>
      </c>
      <c r="G273" s="285"/>
      <c r="H273" s="273"/>
      <c r="I273" s="356"/>
      <c r="J273" s="273"/>
      <c r="K273" s="273"/>
    </row>
    <row r="274" spans="1:13">
      <c r="A274" s="213">
        <v>12</v>
      </c>
      <c r="B274" s="218" t="s">
        <v>597</v>
      </c>
      <c r="C274" s="222" t="s">
        <v>353</v>
      </c>
      <c r="D274" s="299">
        <v>1</v>
      </c>
      <c r="E274" s="302">
        <v>1699</v>
      </c>
      <c r="F274" s="232" t="s">
        <v>543</v>
      </c>
      <c r="G274" s="294"/>
      <c r="H274" s="273"/>
      <c r="I274" s="356"/>
      <c r="J274" s="273"/>
      <c r="K274" s="273"/>
    </row>
    <row r="275" spans="1:13" ht="15.75" thickBot="1">
      <c r="A275" s="213">
        <v>13</v>
      </c>
      <c r="B275" s="233" t="s">
        <v>554</v>
      </c>
      <c r="C275" s="225" t="s">
        <v>353</v>
      </c>
      <c r="D275" s="299">
        <v>1</v>
      </c>
      <c r="E275" s="302">
        <v>3810</v>
      </c>
      <c r="F275" s="232" t="s">
        <v>555</v>
      </c>
      <c r="G275" s="294"/>
      <c r="H275" s="273"/>
      <c r="I275" s="356"/>
      <c r="J275" s="273"/>
      <c r="K275" s="273"/>
    </row>
    <row r="276" spans="1:13">
      <c r="A276" s="454"/>
      <c r="B276" s="456" t="s">
        <v>409</v>
      </c>
      <c r="C276" s="460"/>
      <c r="D276" s="460"/>
      <c r="E276" s="499">
        <f>SUM(E278:E287)</f>
        <v>68615.94</v>
      </c>
      <c r="F276" s="466"/>
      <c r="G276" s="286"/>
      <c r="H276" s="534"/>
      <c r="I276" s="552"/>
      <c r="J276" s="554"/>
      <c r="K276" s="273"/>
    </row>
    <row r="277" spans="1:13" ht="9" customHeight="1">
      <c r="A277" s="502"/>
      <c r="B277" s="503"/>
      <c r="C277" s="504"/>
      <c r="D277" s="504"/>
      <c r="E277" s="505"/>
      <c r="F277" s="561"/>
      <c r="G277" s="286"/>
      <c r="H277" s="534"/>
      <c r="I277" s="553"/>
      <c r="J277" s="555"/>
      <c r="K277" s="273"/>
    </row>
    <row r="278" spans="1:13" ht="25.5">
      <c r="A278" s="346">
        <v>1</v>
      </c>
      <c r="B278" s="224" t="s">
        <v>677</v>
      </c>
      <c r="C278" s="280" t="s">
        <v>353</v>
      </c>
      <c r="D278" s="281">
        <v>1</v>
      </c>
      <c r="E278" s="234">
        <v>6400</v>
      </c>
      <c r="F278" s="347"/>
      <c r="G278" s="295"/>
      <c r="H278" s="360"/>
      <c r="I278" s="361"/>
      <c r="J278" s="273"/>
      <c r="K278" s="273"/>
    </row>
    <row r="279" spans="1:13">
      <c r="A279" s="346">
        <v>2</v>
      </c>
      <c r="B279" s="233" t="s">
        <v>678</v>
      </c>
      <c r="C279" s="225" t="s">
        <v>353</v>
      </c>
      <c r="D279" s="271">
        <v>1</v>
      </c>
      <c r="E279" s="234">
        <v>6807</v>
      </c>
      <c r="F279" s="278"/>
      <c r="G279" s="286"/>
      <c r="H279" s="273"/>
      <c r="I279" s="356"/>
      <c r="J279" s="273"/>
      <c r="K279" s="273"/>
    </row>
    <row r="280" spans="1:13">
      <c r="A280" s="346">
        <v>3</v>
      </c>
      <c r="B280" s="233" t="s">
        <v>691</v>
      </c>
      <c r="C280" s="225" t="s">
        <v>353</v>
      </c>
      <c r="D280" s="271">
        <v>2</v>
      </c>
      <c r="E280" s="234">
        <v>4598</v>
      </c>
      <c r="F280" s="278"/>
      <c r="G280" s="286"/>
      <c r="H280" s="273"/>
      <c r="I280" s="356"/>
      <c r="J280" s="273"/>
      <c r="K280" s="273"/>
    </row>
    <row r="281" spans="1:13" s="1" customFormat="1">
      <c r="A281" s="346">
        <v>4</v>
      </c>
      <c r="B281" s="233" t="s">
        <v>676</v>
      </c>
      <c r="C281" s="225" t="s">
        <v>353</v>
      </c>
      <c r="D281" s="271">
        <v>1</v>
      </c>
      <c r="E281" s="234">
        <v>17445</v>
      </c>
      <c r="F281" s="278"/>
      <c r="G281" s="286"/>
      <c r="H281" s="273"/>
      <c r="I281" s="356"/>
      <c r="J281" s="273"/>
      <c r="K281" s="273"/>
    </row>
    <row r="282" spans="1:13" s="1" customFormat="1">
      <c r="A282" s="346">
        <v>5</v>
      </c>
      <c r="B282" s="233" t="s">
        <v>513</v>
      </c>
      <c r="C282" s="225" t="s">
        <v>353</v>
      </c>
      <c r="D282" s="271">
        <v>1</v>
      </c>
      <c r="E282" s="234">
        <v>7500</v>
      </c>
      <c r="F282" s="278"/>
      <c r="G282" s="286"/>
      <c r="H282" s="273"/>
      <c r="I282" s="356"/>
      <c r="J282" s="375"/>
      <c r="K282" s="375"/>
    </row>
    <row r="283" spans="1:13">
      <c r="A283" s="317">
        <v>6</v>
      </c>
      <c r="B283" s="206" t="s">
        <v>591</v>
      </c>
      <c r="C283" s="209" t="s">
        <v>353</v>
      </c>
      <c r="D283" s="210">
        <v>1</v>
      </c>
      <c r="E283" s="212">
        <v>6500</v>
      </c>
      <c r="F283" s="208" t="s">
        <v>590</v>
      </c>
      <c r="G283" s="283"/>
      <c r="H283" s="273"/>
      <c r="I283" s="356"/>
      <c r="J283" s="273"/>
      <c r="K283" s="273"/>
      <c r="L283" s="1"/>
      <c r="M283" s="1"/>
    </row>
    <row r="284" spans="1:13" s="1" customFormat="1">
      <c r="A284" s="317">
        <v>7</v>
      </c>
      <c r="B284" s="206" t="s">
        <v>624</v>
      </c>
      <c r="C284" s="209" t="s">
        <v>353</v>
      </c>
      <c r="D284" s="210">
        <v>1</v>
      </c>
      <c r="E284" s="212">
        <v>8100</v>
      </c>
      <c r="F284" s="208" t="s">
        <v>625</v>
      </c>
      <c r="G284" s="283"/>
      <c r="H284" s="273"/>
      <c r="I284" s="356"/>
      <c r="J284" s="273"/>
      <c r="K284" s="273"/>
    </row>
    <row r="285" spans="1:13">
      <c r="A285" s="317">
        <v>8</v>
      </c>
      <c r="B285" s="206" t="s">
        <v>664</v>
      </c>
      <c r="C285" s="209" t="s">
        <v>353</v>
      </c>
      <c r="D285" s="210">
        <v>1</v>
      </c>
      <c r="E285" s="212">
        <v>650</v>
      </c>
      <c r="F285" s="562" t="s">
        <v>774</v>
      </c>
      <c r="G285" s="283"/>
      <c r="H285" s="273"/>
      <c r="I285" s="356"/>
      <c r="J285" s="273"/>
      <c r="K285" s="273"/>
    </row>
    <row r="286" spans="1:13">
      <c r="A286" s="317">
        <v>9</v>
      </c>
      <c r="B286" s="206" t="s">
        <v>665</v>
      </c>
      <c r="C286" s="209" t="s">
        <v>353</v>
      </c>
      <c r="D286" s="210">
        <v>1</v>
      </c>
      <c r="E286" s="212">
        <v>4999</v>
      </c>
      <c r="F286" s="563"/>
      <c r="G286" s="296"/>
      <c r="H286" s="273"/>
      <c r="I286" s="356"/>
      <c r="J286" s="273"/>
      <c r="K286" s="273"/>
    </row>
    <row r="287" spans="1:13" ht="15.75" thickBot="1">
      <c r="A287" s="227">
        <v>10</v>
      </c>
      <c r="B287" s="216" t="s">
        <v>411</v>
      </c>
      <c r="C287" s="222" t="s">
        <v>353</v>
      </c>
      <c r="D287" s="223">
        <v>1</v>
      </c>
      <c r="E287" s="229">
        <v>5616.94</v>
      </c>
      <c r="F287" s="269" t="s">
        <v>412</v>
      </c>
      <c r="G287" s="296"/>
      <c r="H287" s="273"/>
      <c r="I287" s="273"/>
      <c r="J287" s="273"/>
      <c r="K287" s="273"/>
    </row>
    <row r="288" spans="1:13">
      <c r="A288" s="497"/>
      <c r="B288" s="456" t="s">
        <v>413</v>
      </c>
      <c r="C288" s="460"/>
      <c r="D288" s="460"/>
      <c r="E288" s="499">
        <f>SUM(E290:E291)</f>
        <v>1243.3600000000001</v>
      </c>
      <c r="F288" s="466"/>
      <c r="G288" s="286"/>
      <c r="H288" s="534"/>
      <c r="I288" s="553"/>
      <c r="J288" s="534"/>
      <c r="K288" s="273"/>
    </row>
    <row r="289" spans="1:13" ht="9" customHeight="1" thickBot="1">
      <c r="A289" s="498"/>
      <c r="B289" s="457"/>
      <c r="C289" s="461"/>
      <c r="D289" s="461"/>
      <c r="E289" s="500"/>
      <c r="F289" s="467"/>
      <c r="G289" s="286"/>
      <c r="H289" s="534"/>
      <c r="I289" s="553"/>
      <c r="J289" s="534"/>
      <c r="K289" s="273"/>
    </row>
    <row r="290" spans="1:13">
      <c r="A290" s="205">
        <v>2</v>
      </c>
      <c r="B290" s="236" t="s">
        <v>512</v>
      </c>
      <c r="C290" s="209" t="s">
        <v>353</v>
      </c>
      <c r="D290" s="210">
        <v>2</v>
      </c>
      <c r="E290" s="212">
        <v>446.4</v>
      </c>
      <c r="F290" s="219"/>
      <c r="G290" s="307"/>
      <c r="H290" s="273"/>
      <c r="I290" s="273"/>
      <c r="J290" s="273"/>
      <c r="K290" s="273"/>
    </row>
    <row r="291" spans="1:13" ht="15.75" thickBot="1">
      <c r="A291" s="227">
        <v>3</v>
      </c>
      <c r="B291" s="333" t="s">
        <v>568</v>
      </c>
      <c r="C291" s="334" t="s">
        <v>353</v>
      </c>
      <c r="D291" s="275">
        <v>1</v>
      </c>
      <c r="E291" s="282">
        <v>796.96</v>
      </c>
      <c r="F291" s="269" t="s">
        <v>569</v>
      </c>
      <c r="G291" s="307"/>
      <c r="H291" s="273"/>
      <c r="I291" s="273"/>
      <c r="J291" s="273"/>
      <c r="K291" s="273"/>
    </row>
    <row r="292" spans="1:13">
      <c r="A292" s="454"/>
      <c r="B292" s="456" t="s">
        <v>414</v>
      </c>
      <c r="C292" s="460"/>
      <c r="D292" s="460"/>
      <c r="E292" s="513">
        <f>SUM(E294:E343)</f>
        <v>67043.599999999991</v>
      </c>
      <c r="F292" s="466"/>
      <c r="G292" s="286"/>
      <c r="H292" s="534"/>
      <c r="I292" s="553"/>
      <c r="J292" s="564"/>
      <c r="K292" s="273"/>
    </row>
    <row r="293" spans="1:13" ht="9.75" customHeight="1" thickBot="1">
      <c r="A293" s="455"/>
      <c r="B293" s="457"/>
      <c r="C293" s="461"/>
      <c r="D293" s="461"/>
      <c r="E293" s="514"/>
      <c r="F293" s="467"/>
      <c r="G293" s="286"/>
      <c r="H293" s="534"/>
      <c r="I293" s="553"/>
      <c r="J293" s="555"/>
      <c r="K293" s="273"/>
    </row>
    <row r="294" spans="1:13" s="1" customFormat="1">
      <c r="A294" s="348">
        <v>1</v>
      </c>
      <c r="B294" s="335" t="s">
        <v>457</v>
      </c>
      <c r="C294" s="336" t="s">
        <v>353</v>
      </c>
      <c r="D294" s="331">
        <v>1</v>
      </c>
      <c r="E294" s="331">
        <v>453.86</v>
      </c>
      <c r="F294" s="312" t="s">
        <v>354</v>
      </c>
      <c r="G294" s="286"/>
      <c r="H294" s="273"/>
      <c r="I294" s="273"/>
      <c r="J294" s="273"/>
      <c r="K294" s="273"/>
    </row>
    <row r="295" spans="1:13">
      <c r="A295" s="205">
        <v>2</v>
      </c>
      <c r="B295" s="206" t="s">
        <v>615</v>
      </c>
      <c r="C295" s="225" t="s">
        <v>353</v>
      </c>
      <c r="D295" s="300">
        <f>10+10+2</f>
        <v>22</v>
      </c>
      <c r="E295" s="300">
        <f>548.7+548.7+204.7+6.51</f>
        <v>1308.6100000000001</v>
      </c>
      <c r="F295" s="312" t="s">
        <v>354</v>
      </c>
      <c r="G295" s="286"/>
      <c r="H295" s="273"/>
      <c r="I295" s="273"/>
      <c r="J295" s="273"/>
      <c r="K295" s="273"/>
      <c r="L295" s="1"/>
      <c r="M295" s="1"/>
    </row>
    <row r="296" spans="1:13" s="1" customFormat="1">
      <c r="A296" s="205">
        <v>3</v>
      </c>
      <c r="B296" s="206" t="s">
        <v>548</v>
      </c>
      <c r="C296" s="225" t="s">
        <v>353</v>
      </c>
      <c r="D296" s="300">
        <f>2+1</f>
        <v>3</v>
      </c>
      <c r="E296" s="300">
        <f>83.74+64.17</f>
        <v>147.91</v>
      </c>
      <c r="F296" s="312" t="s">
        <v>354</v>
      </c>
      <c r="G296" s="286"/>
      <c r="H296" s="273"/>
      <c r="I296" s="273"/>
      <c r="J296" s="273"/>
      <c r="K296" s="273"/>
    </row>
    <row r="297" spans="1:13" s="1" customFormat="1">
      <c r="A297" s="205">
        <v>4</v>
      </c>
      <c r="B297" s="206" t="s">
        <v>500</v>
      </c>
      <c r="C297" s="225" t="s">
        <v>353</v>
      </c>
      <c r="D297" s="300">
        <f>5+1+1+1</f>
        <v>8</v>
      </c>
      <c r="E297" s="305">
        <f>511.8+6.51+96.72+158.32+94.65</f>
        <v>868.00000000000011</v>
      </c>
      <c r="F297" s="312" t="s">
        <v>354</v>
      </c>
      <c r="G297" s="337"/>
      <c r="H297" s="273"/>
      <c r="I297" s="356"/>
      <c r="J297" s="273"/>
      <c r="K297" s="356"/>
      <c r="L297" s="67"/>
    </row>
    <row r="298" spans="1:13" s="1" customFormat="1">
      <c r="A298" s="205">
        <v>5</v>
      </c>
      <c r="B298" s="206" t="s">
        <v>656</v>
      </c>
      <c r="C298" s="225" t="s">
        <v>353</v>
      </c>
      <c r="D298" s="300">
        <v>1</v>
      </c>
      <c r="E298" s="300">
        <v>82.77</v>
      </c>
      <c r="F298" s="312" t="s">
        <v>354</v>
      </c>
      <c r="G298" s="286"/>
      <c r="H298" s="273"/>
      <c r="I298" s="273"/>
      <c r="J298" s="273"/>
      <c r="K298" s="273"/>
    </row>
    <row r="299" spans="1:13" s="1" customFormat="1">
      <c r="A299" s="205">
        <v>6</v>
      </c>
      <c r="B299" s="206" t="s">
        <v>705</v>
      </c>
      <c r="C299" s="225" t="s">
        <v>353</v>
      </c>
      <c r="D299" s="300">
        <v>1</v>
      </c>
      <c r="E299" s="300">
        <v>455.73</v>
      </c>
      <c r="F299" s="312" t="s">
        <v>354</v>
      </c>
      <c r="G299" s="286"/>
      <c r="H299" s="273"/>
      <c r="I299" s="273"/>
      <c r="J299" s="273"/>
      <c r="K299" s="273"/>
    </row>
    <row r="300" spans="1:13" s="1" customFormat="1">
      <c r="A300" s="205">
        <v>8</v>
      </c>
      <c r="B300" s="206" t="s">
        <v>613</v>
      </c>
      <c r="C300" s="225" t="s">
        <v>353</v>
      </c>
      <c r="D300" s="300">
        <v>3</v>
      </c>
      <c r="E300" s="300">
        <v>293.04000000000002</v>
      </c>
      <c r="F300" s="312" t="s">
        <v>354</v>
      </c>
      <c r="G300" s="286"/>
      <c r="H300" s="273"/>
      <c r="I300" s="273"/>
      <c r="J300" s="273"/>
      <c r="K300" s="273"/>
    </row>
    <row r="301" spans="1:13" s="1" customFormat="1">
      <c r="A301" s="205">
        <v>9</v>
      </c>
      <c r="B301" s="206" t="s">
        <v>745</v>
      </c>
      <c r="C301" s="225" t="s">
        <v>353</v>
      </c>
      <c r="D301" s="300">
        <v>5</v>
      </c>
      <c r="E301" s="305">
        <v>800</v>
      </c>
      <c r="F301" s="312" t="s">
        <v>354</v>
      </c>
      <c r="G301" s="286"/>
      <c r="H301" s="273"/>
      <c r="I301" s="356"/>
      <c r="J301" s="365"/>
      <c r="K301" s="273"/>
    </row>
    <row r="302" spans="1:13" s="1" customFormat="1">
      <c r="A302" s="205">
        <v>10</v>
      </c>
      <c r="B302" s="206" t="s">
        <v>523</v>
      </c>
      <c r="C302" s="225" t="s">
        <v>353</v>
      </c>
      <c r="D302" s="300">
        <f>10+10</f>
        <v>20</v>
      </c>
      <c r="E302" s="305">
        <f>1710+1510</f>
        <v>3220</v>
      </c>
      <c r="F302" s="312" t="s">
        <v>354</v>
      </c>
      <c r="G302" s="286"/>
      <c r="H302" s="273"/>
      <c r="I302" s="356"/>
      <c r="J302" s="273"/>
      <c r="K302" s="273"/>
    </row>
    <row r="303" spans="1:13" s="1" customFormat="1">
      <c r="A303" s="205">
        <v>11</v>
      </c>
      <c r="B303" s="206" t="s">
        <v>739</v>
      </c>
      <c r="C303" s="225" t="s">
        <v>353</v>
      </c>
      <c r="D303" s="300">
        <v>10</v>
      </c>
      <c r="E303" s="305">
        <v>2080</v>
      </c>
      <c r="F303" s="312" t="s">
        <v>354</v>
      </c>
      <c r="G303" s="286"/>
      <c r="H303" s="273"/>
      <c r="I303" s="356"/>
      <c r="J303" s="365"/>
      <c r="K303" s="273"/>
    </row>
    <row r="304" spans="1:13">
      <c r="A304" s="205">
        <v>12</v>
      </c>
      <c r="B304" s="206" t="s">
        <v>524</v>
      </c>
      <c r="C304" s="225" t="s">
        <v>353</v>
      </c>
      <c r="D304" s="300">
        <v>1</v>
      </c>
      <c r="E304" s="305">
        <v>349</v>
      </c>
      <c r="F304" s="312" t="s">
        <v>354</v>
      </c>
      <c r="G304" s="337"/>
      <c r="H304" s="273"/>
      <c r="I304" s="356"/>
      <c r="J304" s="273"/>
      <c r="K304" s="273"/>
    </row>
    <row r="305" spans="1:13" s="1" customFormat="1">
      <c r="A305" s="205">
        <v>13</v>
      </c>
      <c r="B305" s="206" t="s">
        <v>699</v>
      </c>
      <c r="C305" s="225" t="s">
        <v>353</v>
      </c>
      <c r="D305" s="300">
        <v>1</v>
      </c>
      <c r="E305" s="300">
        <v>532.98</v>
      </c>
      <c r="F305" s="312" t="s">
        <v>354</v>
      </c>
      <c r="G305" s="337"/>
      <c r="H305" s="273"/>
      <c r="I305" s="273"/>
      <c r="J305" s="273"/>
      <c r="K305" s="356"/>
      <c r="M305" s="67"/>
    </row>
    <row r="306" spans="1:13" s="1" customFormat="1">
      <c r="A306" s="205">
        <v>14</v>
      </c>
      <c r="B306" s="206" t="s">
        <v>501</v>
      </c>
      <c r="C306" s="225" t="s">
        <v>353</v>
      </c>
      <c r="D306" s="300">
        <v>1</v>
      </c>
      <c r="E306" s="300">
        <v>525.57000000000005</v>
      </c>
      <c r="F306" s="312" t="s">
        <v>354</v>
      </c>
      <c r="G306" s="286"/>
      <c r="H306" s="273"/>
      <c r="I306" s="273"/>
      <c r="J306" s="273"/>
      <c r="K306" s="273"/>
    </row>
    <row r="307" spans="1:13" s="1" customFormat="1">
      <c r="A307" s="205">
        <v>15</v>
      </c>
      <c r="B307" s="206" t="s">
        <v>631</v>
      </c>
      <c r="C307" s="225" t="s">
        <v>353</v>
      </c>
      <c r="D307" s="300">
        <v>5</v>
      </c>
      <c r="E307" s="305">
        <v>471</v>
      </c>
      <c r="F307" s="312" t="s">
        <v>354</v>
      </c>
      <c r="G307" s="286"/>
      <c r="H307" s="273"/>
      <c r="I307" s="356"/>
      <c r="J307" s="273"/>
      <c r="K307" s="273"/>
    </row>
    <row r="308" spans="1:13" s="1" customFormat="1">
      <c r="A308" s="205">
        <v>16</v>
      </c>
      <c r="B308" s="206" t="s">
        <v>502</v>
      </c>
      <c r="C308" s="225" t="s">
        <v>353</v>
      </c>
      <c r="D308" s="300">
        <f>3+5+1</f>
        <v>9</v>
      </c>
      <c r="E308" s="300">
        <f>611.16+710+179</f>
        <v>1500.1599999999999</v>
      </c>
      <c r="F308" s="312" t="s">
        <v>354</v>
      </c>
      <c r="G308" s="286"/>
      <c r="H308" s="273"/>
      <c r="I308" s="273"/>
      <c r="J308" s="273"/>
      <c r="K308" s="273"/>
    </row>
    <row r="309" spans="1:13" s="1" customFormat="1">
      <c r="A309" s="205">
        <v>17</v>
      </c>
      <c r="B309" s="206" t="s">
        <v>503</v>
      </c>
      <c r="C309" s="225" t="s">
        <v>353</v>
      </c>
      <c r="D309" s="300">
        <f>2+3+3+2+3+3+2+2+1+2+2+5</f>
        <v>30</v>
      </c>
      <c r="E309" s="300">
        <f>221.36+178.65+276.36+100.44+150.69+94.86+55.8+174.94+68.86+100.44+91.14+134.85</f>
        <v>1648.39</v>
      </c>
      <c r="F309" s="312" t="s">
        <v>354</v>
      </c>
      <c r="G309" s="286"/>
      <c r="H309" s="273"/>
      <c r="I309" s="273"/>
      <c r="J309" s="273"/>
      <c r="K309" s="273"/>
    </row>
    <row r="310" spans="1:13" s="1" customFormat="1" ht="25.5">
      <c r="A310" s="354">
        <v>18</v>
      </c>
      <c r="B310" s="231" t="s">
        <v>533</v>
      </c>
      <c r="C310" s="280" t="s">
        <v>353</v>
      </c>
      <c r="D310" s="101">
        <v>1</v>
      </c>
      <c r="E310" s="315">
        <v>195</v>
      </c>
      <c r="F310" s="342" t="s">
        <v>354</v>
      </c>
      <c r="G310" s="314"/>
      <c r="H310" s="360"/>
      <c r="I310" s="361"/>
      <c r="J310" s="273"/>
      <c r="K310" s="273"/>
    </row>
    <row r="311" spans="1:13" s="1" customFormat="1" ht="25.5">
      <c r="A311" s="354">
        <v>19</v>
      </c>
      <c r="B311" s="231" t="s">
        <v>532</v>
      </c>
      <c r="C311" s="225" t="s">
        <v>353</v>
      </c>
      <c r="D311" s="101">
        <v>1</v>
      </c>
      <c r="E311" s="315">
        <v>739</v>
      </c>
      <c r="F311" s="312" t="s">
        <v>354</v>
      </c>
      <c r="G311" s="286"/>
      <c r="H311" s="360"/>
      <c r="I311" s="361"/>
      <c r="J311" s="360"/>
      <c r="K311" s="273"/>
    </row>
    <row r="312" spans="1:13" s="1" customFormat="1">
      <c r="A312" s="205">
        <v>20</v>
      </c>
      <c r="B312" s="206" t="s">
        <v>504</v>
      </c>
      <c r="C312" s="225" t="s">
        <v>353</v>
      </c>
      <c r="D312" s="300">
        <v>1</v>
      </c>
      <c r="E312" s="305">
        <v>356</v>
      </c>
      <c r="F312" s="312" t="s">
        <v>354</v>
      </c>
      <c r="G312" s="286"/>
      <c r="H312" s="273"/>
      <c r="I312" s="356"/>
      <c r="J312" s="273"/>
      <c r="K312" s="273"/>
    </row>
    <row r="313" spans="1:13" s="1" customFormat="1">
      <c r="A313" s="205">
        <v>21</v>
      </c>
      <c r="B313" s="206" t="s">
        <v>671</v>
      </c>
      <c r="C313" s="225" t="s">
        <v>353</v>
      </c>
      <c r="D313" s="300">
        <f>1+1</f>
        <v>2</v>
      </c>
      <c r="E313" s="305">
        <f>800+800</f>
        <v>1600</v>
      </c>
      <c r="F313" s="312" t="s">
        <v>354</v>
      </c>
      <c r="G313" s="286"/>
      <c r="H313" s="273"/>
      <c r="I313" s="356"/>
      <c r="J313" s="273"/>
      <c r="K313" s="273"/>
    </row>
    <row r="314" spans="1:13">
      <c r="A314" s="205">
        <v>22</v>
      </c>
      <c r="B314" s="206" t="s">
        <v>505</v>
      </c>
      <c r="C314" s="225" t="s">
        <v>353</v>
      </c>
      <c r="D314" s="300">
        <f>1+1+1</f>
        <v>3</v>
      </c>
      <c r="E314" s="300">
        <f>436.21+508.75+1254.89</f>
        <v>2199.8500000000004</v>
      </c>
      <c r="F314" s="312" t="s">
        <v>354</v>
      </c>
      <c r="G314" s="286"/>
      <c r="H314" s="273"/>
      <c r="I314" s="273"/>
      <c r="J314" s="273"/>
      <c r="K314" s="356"/>
      <c r="L314" s="1"/>
    </row>
    <row r="315" spans="1:13">
      <c r="A315" s="205">
        <v>23</v>
      </c>
      <c r="B315" s="206" t="s">
        <v>415</v>
      </c>
      <c r="C315" s="225" t="s">
        <v>353</v>
      </c>
      <c r="D315" s="300">
        <f>1+1</f>
        <v>2</v>
      </c>
      <c r="E315" s="300">
        <f>639.88+836.12</f>
        <v>1476</v>
      </c>
      <c r="F315" s="312" t="s">
        <v>354</v>
      </c>
      <c r="G315" s="286"/>
      <c r="H315" s="273"/>
      <c r="I315" s="273"/>
      <c r="J315" s="273"/>
      <c r="K315" s="273"/>
    </row>
    <row r="316" spans="1:13" s="1" customFormat="1">
      <c r="A316" s="205">
        <v>24</v>
      </c>
      <c r="B316" s="206" t="s">
        <v>506</v>
      </c>
      <c r="C316" s="225" t="s">
        <v>353</v>
      </c>
      <c r="D316" s="300">
        <v>1</v>
      </c>
      <c r="E316" s="300">
        <v>93.94</v>
      </c>
      <c r="F316" s="312" t="s">
        <v>354</v>
      </c>
      <c r="G316" s="286"/>
      <c r="H316" s="273"/>
      <c r="I316" s="273"/>
      <c r="J316" s="273"/>
      <c r="K316" s="273"/>
    </row>
    <row r="317" spans="1:13" s="1" customFormat="1">
      <c r="A317" s="205">
        <v>25</v>
      </c>
      <c r="B317" s="206" t="s">
        <v>746</v>
      </c>
      <c r="C317" s="225" t="s">
        <v>353</v>
      </c>
      <c r="D317" s="300">
        <v>3</v>
      </c>
      <c r="E317" s="305">
        <v>3540</v>
      </c>
      <c r="F317" s="278" t="s">
        <v>570</v>
      </c>
      <c r="G317" s="286"/>
      <c r="H317" s="273"/>
      <c r="I317" s="356"/>
      <c r="J317" s="365"/>
      <c r="K317" s="273"/>
    </row>
    <row r="318" spans="1:13" s="1" customFormat="1" ht="23.25" customHeight="1">
      <c r="A318" s="205">
        <v>26</v>
      </c>
      <c r="B318" s="218" t="s">
        <v>723</v>
      </c>
      <c r="C318" s="280" t="s">
        <v>353</v>
      </c>
      <c r="D318" s="101">
        <f>5+1</f>
        <v>6</v>
      </c>
      <c r="E318" s="315">
        <f>12950+325+2590</f>
        <v>15865</v>
      </c>
      <c r="F318" s="313" t="s">
        <v>570</v>
      </c>
      <c r="G318" s="314"/>
      <c r="H318" s="360"/>
      <c r="I318" s="361"/>
      <c r="J318" s="379"/>
      <c r="K318" s="273"/>
    </row>
    <row r="319" spans="1:13" s="1" customFormat="1">
      <c r="A319" s="205">
        <v>27</v>
      </c>
      <c r="B319" s="206" t="s">
        <v>724</v>
      </c>
      <c r="C319" s="225" t="s">
        <v>353</v>
      </c>
      <c r="D319" s="300">
        <v>3</v>
      </c>
      <c r="E319" s="305">
        <v>5994</v>
      </c>
      <c r="F319" s="278" t="s">
        <v>570</v>
      </c>
      <c r="G319" s="286"/>
      <c r="H319" s="273"/>
      <c r="I319" s="356"/>
      <c r="J319" s="374"/>
      <c r="K319" s="356"/>
      <c r="L319" s="67"/>
    </row>
    <row r="320" spans="1:13" s="1" customFormat="1">
      <c r="A320" s="205">
        <v>28</v>
      </c>
      <c r="B320" s="206" t="s">
        <v>669</v>
      </c>
      <c r="C320" s="225" t="s">
        <v>353</v>
      </c>
      <c r="D320" s="300">
        <f>1</f>
        <v>1</v>
      </c>
      <c r="E320" s="300">
        <v>1115.3599999999999</v>
      </c>
      <c r="F320" s="278" t="s">
        <v>570</v>
      </c>
      <c r="G320" s="286"/>
      <c r="H320" s="273"/>
      <c r="I320" s="273"/>
      <c r="J320" s="273"/>
      <c r="K320" s="273"/>
    </row>
    <row r="321" spans="1:13" s="1" customFormat="1">
      <c r="A321" s="205">
        <v>29</v>
      </c>
      <c r="B321" s="206" t="s">
        <v>507</v>
      </c>
      <c r="C321" s="225" t="s">
        <v>353</v>
      </c>
      <c r="D321" s="300">
        <v>1</v>
      </c>
      <c r="E321" s="300">
        <v>159.07</v>
      </c>
      <c r="F321" s="312" t="s">
        <v>354</v>
      </c>
      <c r="G321" s="286"/>
      <c r="H321" s="273"/>
      <c r="I321" s="273"/>
      <c r="J321" s="273"/>
      <c r="K321" s="273"/>
    </row>
    <row r="322" spans="1:13">
      <c r="A322" s="205">
        <v>30</v>
      </c>
      <c r="B322" s="206" t="s">
        <v>416</v>
      </c>
      <c r="C322" s="225" t="s">
        <v>353</v>
      </c>
      <c r="D322" s="300">
        <f>1+2+1</f>
        <v>4</v>
      </c>
      <c r="E322" s="300">
        <f>240.96+519.12+246.54</f>
        <v>1006.62</v>
      </c>
      <c r="F322" s="312" t="s">
        <v>354</v>
      </c>
      <c r="G322" s="286"/>
      <c r="H322" s="273"/>
      <c r="I322" s="273"/>
      <c r="J322" s="273"/>
      <c r="K322" s="273"/>
    </row>
    <row r="323" spans="1:13" s="1" customFormat="1">
      <c r="A323" s="205">
        <v>31</v>
      </c>
      <c r="B323" s="206" t="s">
        <v>416</v>
      </c>
      <c r="C323" s="225" t="s">
        <v>353</v>
      </c>
      <c r="D323" s="300">
        <v>1</v>
      </c>
      <c r="E323" s="300">
        <v>157.18</v>
      </c>
      <c r="F323" s="312" t="s">
        <v>354</v>
      </c>
      <c r="G323" s="286"/>
      <c r="H323" s="273"/>
      <c r="I323" s="273"/>
      <c r="J323" s="273"/>
      <c r="K323" s="273"/>
    </row>
    <row r="324" spans="1:13">
      <c r="A324" s="205">
        <v>32</v>
      </c>
      <c r="B324" s="206" t="s">
        <v>417</v>
      </c>
      <c r="C324" s="225" t="s">
        <v>353</v>
      </c>
      <c r="D324" s="300">
        <f>1+2</f>
        <v>3</v>
      </c>
      <c r="E324" s="300">
        <f>265.06+481.86</f>
        <v>746.92000000000007</v>
      </c>
      <c r="F324" s="312" t="s">
        <v>354</v>
      </c>
      <c r="G324" s="286"/>
      <c r="H324" s="273"/>
      <c r="I324" s="273"/>
      <c r="J324" s="273"/>
      <c r="K324" s="364"/>
    </row>
    <row r="325" spans="1:13" s="1" customFormat="1">
      <c r="A325" s="205">
        <v>33</v>
      </c>
      <c r="B325" s="206" t="s">
        <v>508</v>
      </c>
      <c r="C325" s="225" t="s">
        <v>353</v>
      </c>
      <c r="D325" s="300">
        <f>1+1</f>
        <v>2</v>
      </c>
      <c r="E325" s="300">
        <f>1450.84+1451.17</f>
        <v>2902.01</v>
      </c>
      <c r="F325" s="312" t="s">
        <v>354</v>
      </c>
      <c r="G325" s="286"/>
      <c r="H325" s="273"/>
      <c r="I325" s="273"/>
      <c r="J325" s="273"/>
      <c r="K325" s="364"/>
    </row>
    <row r="326" spans="1:13" s="1" customFormat="1" ht="25.5">
      <c r="A326" s="354">
        <v>34</v>
      </c>
      <c r="B326" s="231" t="s">
        <v>716</v>
      </c>
      <c r="C326" s="280" t="s">
        <v>353</v>
      </c>
      <c r="D326" s="101">
        <v>3</v>
      </c>
      <c r="E326" s="101">
        <v>326.33999999999997</v>
      </c>
      <c r="F326" s="342" t="s">
        <v>354</v>
      </c>
      <c r="G326" s="286"/>
      <c r="H326" s="273"/>
      <c r="I326" s="273"/>
      <c r="J326" s="377"/>
      <c r="K326" s="364"/>
    </row>
    <row r="327" spans="1:13" s="1" customFormat="1">
      <c r="A327" s="205">
        <v>35</v>
      </c>
      <c r="B327" s="206" t="s">
        <v>616</v>
      </c>
      <c r="C327" s="225" t="s">
        <v>353</v>
      </c>
      <c r="D327" s="300">
        <f>3+1+2</f>
        <v>6</v>
      </c>
      <c r="E327" s="300">
        <f>1085.82+361.82+723.72</f>
        <v>2171.3599999999997</v>
      </c>
      <c r="F327" s="312" t="s">
        <v>354</v>
      </c>
      <c r="G327" s="286"/>
      <c r="H327" s="273"/>
      <c r="I327" s="273"/>
      <c r="J327" s="273"/>
      <c r="K327" s="364"/>
    </row>
    <row r="328" spans="1:13" s="1" customFormat="1">
      <c r="A328" s="205">
        <v>36</v>
      </c>
      <c r="B328" s="206" t="s">
        <v>586</v>
      </c>
      <c r="C328" s="225" t="s">
        <v>353</v>
      </c>
      <c r="D328" s="300">
        <v>1</v>
      </c>
      <c r="E328" s="300">
        <v>180.46</v>
      </c>
      <c r="F328" s="312" t="s">
        <v>354</v>
      </c>
      <c r="G328" s="286"/>
      <c r="H328" s="273"/>
      <c r="I328" s="273"/>
      <c r="J328" s="273"/>
      <c r="K328" s="273"/>
    </row>
    <row r="329" spans="1:13" s="1" customFormat="1">
      <c r="A329" s="205">
        <v>37</v>
      </c>
      <c r="B329" s="206" t="s">
        <v>622</v>
      </c>
      <c r="C329" s="225" t="s">
        <v>353</v>
      </c>
      <c r="D329" s="300">
        <f>1+2</f>
        <v>3</v>
      </c>
      <c r="E329" s="300">
        <f>240.88+481.84</f>
        <v>722.72</v>
      </c>
      <c r="F329" s="312" t="s">
        <v>354</v>
      </c>
      <c r="G329" s="286"/>
      <c r="H329" s="273"/>
      <c r="I329" s="273"/>
      <c r="J329" s="273"/>
      <c r="K329" s="364"/>
      <c r="M329" s="194"/>
    </row>
    <row r="330" spans="1:13" s="1" customFormat="1">
      <c r="A330" s="205">
        <v>38</v>
      </c>
      <c r="B330" s="206" t="s">
        <v>747</v>
      </c>
      <c r="C330" s="225" t="s">
        <v>353</v>
      </c>
      <c r="D330" s="300">
        <v>2</v>
      </c>
      <c r="E330" s="305">
        <v>628</v>
      </c>
      <c r="F330" s="312" t="s">
        <v>354</v>
      </c>
      <c r="G330" s="286"/>
      <c r="H330" s="273"/>
      <c r="I330" s="356"/>
      <c r="J330" s="365"/>
      <c r="K330" s="364"/>
      <c r="M330" s="194"/>
    </row>
    <row r="331" spans="1:13" s="1" customFormat="1">
      <c r="A331" s="205">
        <v>39</v>
      </c>
      <c r="B331" s="206" t="s">
        <v>418</v>
      </c>
      <c r="C331" s="225" t="s">
        <v>353</v>
      </c>
      <c r="D331" s="300">
        <f>1+1</f>
        <v>2</v>
      </c>
      <c r="E331" s="300">
        <f>63.24+6.51+102.31</f>
        <v>172.06</v>
      </c>
      <c r="F331" s="312" t="s">
        <v>354</v>
      </c>
      <c r="G331" s="286"/>
      <c r="H331" s="273"/>
      <c r="I331" s="273"/>
      <c r="J331" s="273"/>
      <c r="K331" s="273"/>
    </row>
    <row r="332" spans="1:13" s="1" customFormat="1">
      <c r="A332" s="205">
        <v>40</v>
      </c>
      <c r="B332" s="206" t="s">
        <v>511</v>
      </c>
      <c r="C332" s="225" t="s">
        <v>353</v>
      </c>
      <c r="D332" s="300">
        <v>2</v>
      </c>
      <c r="E332" s="300">
        <v>119.06</v>
      </c>
      <c r="F332" s="312" t="s">
        <v>354</v>
      </c>
      <c r="G332" s="286"/>
      <c r="H332" s="273"/>
      <c r="I332" s="273"/>
      <c r="J332" s="273"/>
      <c r="K332" s="273"/>
    </row>
    <row r="333" spans="1:13" s="1" customFormat="1">
      <c r="A333" s="205">
        <v>41</v>
      </c>
      <c r="B333" s="206" t="s">
        <v>565</v>
      </c>
      <c r="C333" s="225" t="s">
        <v>353</v>
      </c>
      <c r="D333" s="300">
        <v>1</v>
      </c>
      <c r="E333" s="305">
        <v>1109</v>
      </c>
      <c r="F333" s="312" t="s">
        <v>354</v>
      </c>
      <c r="G333" s="286"/>
      <c r="H333" s="273"/>
      <c r="I333" s="356"/>
      <c r="J333" s="273"/>
      <c r="K333" s="273"/>
    </row>
    <row r="334" spans="1:13" s="1" customFormat="1">
      <c r="A334" s="205">
        <v>42</v>
      </c>
      <c r="B334" s="206" t="s">
        <v>642</v>
      </c>
      <c r="C334" s="225" t="s">
        <v>353</v>
      </c>
      <c r="D334" s="300">
        <v>3</v>
      </c>
      <c r="E334" s="300">
        <v>641.82000000000005</v>
      </c>
      <c r="F334" s="312" t="s">
        <v>354</v>
      </c>
      <c r="G334" s="286"/>
      <c r="H334" s="273"/>
      <c r="I334" s="273"/>
      <c r="J334" s="273"/>
      <c r="K334" s="273"/>
    </row>
    <row r="335" spans="1:13">
      <c r="A335" s="205">
        <v>43</v>
      </c>
      <c r="B335" s="206" t="s">
        <v>539</v>
      </c>
      <c r="C335" s="225" t="s">
        <v>353</v>
      </c>
      <c r="D335" s="300">
        <v>2</v>
      </c>
      <c r="E335" s="300">
        <v>157.4</v>
      </c>
      <c r="F335" s="312" t="s">
        <v>354</v>
      </c>
      <c r="G335" s="286"/>
      <c r="H335" s="273"/>
      <c r="I335" s="273"/>
      <c r="J335" s="273"/>
      <c r="K335" s="273"/>
      <c r="L335" s="1"/>
      <c r="M335" s="1"/>
    </row>
    <row r="336" spans="1:13" s="1" customFormat="1">
      <c r="A336" s="205">
        <v>44</v>
      </c>
      <c r="B336" s="206" t="s">
        <v>599</v>
      </c>
      <c r="C336" s="225" t="s">
        <v>353</v>
      </c>
      <c r="D336" s="300">
        <v>1</v>
      </c>
      <c r="E336" s="300">
        <v>575.73</v>
      </c>
      <c r="F336" s="312" t="s">
        <v>354</v>
      </c>
      <c r="G336" s="286"/>
      <c r="H336" s="273"/>
      <c r="I336" s="273"/>
      <c r="J336" s="273"/>
      <c r="K336" s="273"/>
    </row>
    <row r="337" spans="1:13" s="1" customFormat="1">
      <c r="A337" s="205">
        <v>45</v>
      </c>
      <c r="B337" s="206" t="s">
        <v>486</v>
      </c>
      <c r="C337" s="225" t="s">
        <v>353</v>
      </c>
      <c r="D337" s="300">
        <v>1</v>
      </c>
      <c r="E337" s="305">
        <v>297</v>
      </c>
      <c r="F337" s="312" t="s">
        <v>354</v>
      </c>
      <c r="G337" s="286"/>
      <c r="H337" s="273"/>
      <c r="I337" s="356"/>
      <c r="J337" s="273"/>
      <c r="K337" s="273"/>
    </row>
    <row r="338" spans="1:13" s="1" customFormat="1">
      <c r="A338" s="205">
        <v>46</v>
      </c>
      <c r="B338" s="206" t="s">
        <v>608</v>
      </c>
      <c r="C338" s="225" t="s">
        <v>353</v>
      </c>
      <c r="D338" s="300">
        <f>1+1</f>
        <v>2</v>
      </c>
      <c r="E338" s="300">
        <f>627.76+521.85</f>
        <v>1149.6100000000001</v>
      </c>
      <c r="F338" s="312" t="s">
        <v>354</v>
      </c>
      <c r="G338" s="286"/>
      <c r="H338" s="273"/>
      <c r="I338" s="273"/>
      <c r="J338" s="273"/>
      <c r="K338" s="356"/>
      <c r="M338" s="67"/>
    </row>
    <row r="339" spans="1:13" s="1" customFormat="1">
      <c r="A339" s="205">
        <v>47</v>
      </c>
      <c r="B339" s="206" t="s">
        <v>698</v>
      </c>
      <c r="C339" s="225" t="s">
        <v>353</v>
      </c>
      <c r="D339" s="300">
        <v>2</v>
      </c>
      <c r="E339" s="305">
        <f>252</f>
        <v>252</v>
      </c>
      <c r="F339" s="312" t="s">
        <v>354</v>
      </c>
      <c r="G339" s="286"/>
      <c r="H339" s="273"/>
      <c r="I339" s="356"/>
      <c r="J339" s="273"/>
      <c r="K339" s="273"/>
    </row>
    <row r="340" spans="1:13" s="1" customFormat="1">
      <c r="A340" s="205">
        <v>48</v>
      </c>
      <c r="B340" s="206" t="s">
        <v>698</v>
      </c>
      <c r="C340" s="225" t="s">
        <v>353</v>
      </c>
      <c r="D340" s="300">
        <v>2</v>
      </c>
      <c r="E340" s="305">
        <v>226</v>
      </c>
      <c r="F340" s="312" t="s">
        <v>354</v>
      </c>
      <c r="G340" s="286"/>
      <c r="H340" s="273"/>
      <c r="I340" s="356"/>
      <c r="J340" s="365"/>
      <c r="K340" s="356"/>
      <c r="L340" s="67"/>
    </row>
    <row r="341" spans="1:13" s="1" customFormat="1" ht="25.5">
      <c r="A341" s="354">
        <v>49</v>
      </c>
      <c r="B341" s="231" t="s">
        <v>646</v>
      </c>
      <c r="C341" s="280" t="s">
        <v>353</v>
      </c>
      <c r="D341" s="101">
        <f>1+1</f>
        <v>2</v>
      </c>
      <c r="E341" s="315">
        <f>1170+589</f>
        <v>1759</v>
      </c>
      <c r="F341" s="342" t="s">
        <v>354</v>
      </c>
      <c r="G341" s="286"/>
      <c r="H341" s="273"/>
      <c r="I341" s="356"/>
      <c r="J341" s="273"/>
      <c r="K341" s="273"/>
    </row>
    <row r="342" spans="1:13" s="1" customFormat="1">
      <c r="A342" s="205">
        <v>50</v>
      </c>
      <c r="B342" s="206" t="s">
        <v>553</v>
      </c>
      <c r="C342" s="225" t="s">
        <v>388</v>
      </c>
      <c r="D342" s="300">
        <v>10</v>
      </c>
      <c r="E342" s="305">
        <v>3525.2</v>
      </c>
      <c r="F342" s="312" t="s">
        <v>354</v>
      </c>
      <c r="G342" s="286"/>
      <c r="H342" s="273"/>
      <c r="I342" s="356"/>
      <c r="J342" s="273"/>
      <c r="K342" s="273"/>
    </row>
    <row r="343" spans="1:13" ht="15.75" thickBot="1">
      <c r="A343" s="205">
        <v>51</v>
      </c>
      <c r="B343" s="206" t="s">
        <v>623</v>
      </c>
      <c r="C343" s="225" t="s">
        <v>353</v>
      </c>
      <c r="D343" s="300">
        <v>2</v>
      </c>
      <c r="E343" s="300">
        <f>141.36+6.51</f>
        <v>147.87</v>
      </c>
      <c r="F343" s="312" t="s">
        <v>354</v>
      </c>
      <c r="G343" s="286"/>
      <c r="H343" s="273"/>
      <c r="I343" s="273"/>
      <c r="J343" s="273"/>
      <c r="K343" s="273"/>
      <c r="L343" s="1"/>
    </row>
    <row r="344" spans="1:13">
      <c r="A344" s="489"/>
      <c r="B344" s="487" t="s">
        <v>419</v>
      </c>
      <c r="C344" s="477"/>
      <c r="D344" s="511"/>
      <c r="E344" s="485">
        <f>SUM(E346:E353)</f>
        <v>37906.9</v>
      </c>
      <c r="F344" s="466"/>
      <c r="G344" s="286"/>
      <c r="H344" s="553"/>
      <c r="I344" s="552"/>
      <c r="J344" s="564"/>
      <c r="K344" s="273"/>
    </row>
    <row r="345" spans="1:13" ht="15.75" thickBot="1">
      <c r="A345" s="490"/>
      <c r="B345" s="488"/>
      <c r="C345" s="478"/>
      <c r="D345" s="512"/>
      <c r="E345" s="486"/>
      <c r="F345" s="467"/>
      <c r="G345" s="286"/>
      <c r="H345" s="553"/>
      <c r="I345" s="553"/>
      <c r="J345" s="555"/>
      <c r="K345" s="273"/>
    </row>
    <row r="346" spans="1:13" s="1" customFormat="1">
      <c r="A346" s="201">
        <v>1</v>
      </c>
      <c r="B346" s="202" t="s">
        <v>662</v>
      </c>
      <c r="C346" s="217" t="s">
        <v>353</v>
      </c>
      <c r="D346" s="299">
        <f>3+13</f>
        <v>16</v>
      </c>
      <c r="E346" s="305">
        <f>3000+13000</f>
        <v>16000</v>
      </c>
      <c r="F346" s="204"/>
      <c r="G346" s="283"/>
      <c r="H346" s="273"/>
      <c r="I346" s="356"/>
      <c r="J346" s="273"/>
      <c r="K346" s="273"/>
    </row>
    <row r="347" spans="1:13">
      <c r="A347" s="205">
        <v>2</v>
      </c>
      <c r="B347" s="202" t="s">
        <v>708</v>
      </c>
      <c r="C347" s="209" t="s">
        <v>353</v>
      </c>
      <c r="D347" s="300">
        <v>8</v>
      </c>
      <c r="E347" s="305">
        <v>8000</v>
      </c>
      <c r="F347" s="208"/>
      <c r="G347" s="283"/>
      <c r="H347" s="273"/>
      <c r="I347" s="356"/>
      <c r="J347" s="273"/>
      <c r="K347" s="273"/>
    </row>
    <row r="348" spans="1:13" s="1" customFormat="1">
      <c r="A348" s="205">
        <v>3</v>
      </c>
      <c r="B348" s="202" t="s">
        <v>693</v>
      </c>
      <c r="C348" s="209" t="s">
        <v>353</v>
      </c>
      <c r="D348" s="300">
        <f>9+1</f>
        <v>10</v>
      </c>
      <c r="E348" s="305">
        <f>9000+1000</f>
        <v>10000</v>
      </c>
      <c r="F348" s="208"/>
      <c r="G348" s="283"/>
      <c r="H348" s="273"/>
      <c r="I348" s="356"/>
      <c r="J348" s="273"/>
      <c r="K348" s="364"/>
      <c r="L348" s="67"/>
    </row>
    <row r="349" spans="1:13">
      <c r="A349" s="205">
        <v>4</v>
      </c>
      <c r="B349" s="206" t="s">
        <v>657</v>
      </c>
      <c r="C349" s="209" t="s">
        <v>353</v>
      </c>
      <c r="D349" s="299">
        <v>1</v>
      </c>
      <c r="E349" s="302">
        <v>899</v>
      </c>
      <c r="F349" s="208"/>
      <c r="G349" s="283"/>
      <c r="H349" s="273"/>
      <c r="I349" s="356"/>
      <c r="J349" s="273"/>
      <c r="K349" s="273"/>
    </row>
    <row r="350" spans="1:13" s="1" customFormat="1">
      <c r="A350" s="205">
        <v>5</v>
      </c>
      <c r="B350" s="206" t="s">
        <v>659</v>
      </c>
      <c r="C350" s="209" t="s">
        <v>353</v>
      </c>
      <c r="D350" s="299">
        <f>8+13</f>
        <v>21</v>
      </c>
      <c r="E350" s="302">
        <f>240+130</f>
        <v>370</v>
      </c>
      <c r="F350" s="208"/>
      <c r="G350" s="283"/>
      <c r="H350" s="273"/>
      <c r="I350" s="356"/>
      <c r="J350" s="273"/>
      <c r="K350" s="273"/>
    </row>
    <row r="351" spans="1:13" s="1" customFormat="1">
      <c r="A351" s="205">
        <v>6</v>
      </c>
      <c r="B351" s="206" t="s">
        <v>660</v>
      </c>
      <c r="C351" s="209" t="s">
        <v>353</v>
      </c>
      <c r="D351" s="299">
        <f>1+13</f>
        <v>14</v>
      </c>
      <c r="E351" s="302">
        <v>399.99</v>
      </c>
      <c r="F351" s="208"/>
      <c r="G351" s="283"/>
      <c r="H351" s="273"/>
      <c r="I351" s="356"/>
      <c r="J351" s="273"/>
      <c r="K351" s="273"/>
    </row>
    <row r="352" spans="1:13">
      <c r="A352" s="205">
        <v>7</v>
      </c>
      <c r="B352" s="206" t="s">
        <v>663</v>
      </c>
      <c r="C352" s="412" t="s">
        <v>420</v>
      </c>
      <c r="D352" s="299">
        <f>3+5</f>
        <v>8</v>
      </c>
      <c r="E352" s="302">
        <f>749.97+1249.95+6.99</f>
        <v>2006.91</v>
      </c>
      <c r="F352" s="208"/>
      <c r="G352" s="283"/>
      <c r="H352" s="273"/>
      <c r="I352" s="356"/>
      <c r="J352" s="273"/>
      <c r="K352" s="273"/>
    </row>
    <row r="353" spans="1:13" s="1" customFormat="1" ht="15.75" thickBot="1">
      <c r="A353" s="201">
        <v>8</v>
      </c>
      <c r="B353" s="202" t="s">
        <v>661</v>
      </c>
      <c r="C353" s="217"/>
      <c r="D353" s="299"/>
      <c r="E353" s="302">
        <v>231</v>
      </c>
      <c r="F353" s="204"/>
      <c r="G353" s="283"/>
      <c r="H353" s="273"/>
      <c r="I353" s="356"/>
      <c r="J353" s="273"/>
      <c r="K353" s="273"/>
    </row>
    <row r="354" spans="1:13">
      <c r="A354" s="454"/>
      <c r="B354" s="456" t="s">
        <v>421</v>
      </c>
      <c r="C354" s="477"/>
      <c r="D354" s="479"/>
      <c r="E354" s="481">
        <f>SUM(E356:E381)</f>
        <v>47494</v>
      </c>
      <c r="F354" s="466"/>
      <c r="G354" s="286"/>
      <c r="H354" s="534"/>
      <c r="I354" s="552"/>
      <c r="J354" s="554"/>
      <c r="K354" s="273"/>
    </row>
    <row r="355" spans="1:13" ht="15.75" thickBot="1">
      <c r="A355" s="455"/>
      <c r="B355" s="457"/>
      <c r="C355" s="478"/>
      <c r="D355" s="480"/>
      <c r="E355" s="482"/>
      <c r="F355" s="467"/>
      <c r="G355" s="286"/>
      <c r="H355" s="534"/>
      <c r="I355" s="553"/>
      <c r="J355" s="555"/>
      <c r="K355" s="273"/>
    </row>
    <row r="356" spans="1:13">
      <c r="A356" s="201">
        <v>1</v>
      </c>
      <c r="B356" s="202" t="s">
        <v>635</v>
      </c>
      <c r="C356" s="217" t="s">
        <v>387</v>
      </c>
      <c r="D356" s="300">
        <v>1</v>
      </c>
      <c r="E356" s="305">
        <v>2600</v>
      </c>
      <c r="F356" s="204"/>
      <c r="G356" s="283"/>
      <c r="H356" s="273"/>
      <c r="I356" s="356"/>
      <c r="J356" s="273"/>
      <c r="K356" s="273"/>
    </row>
    <row r="357" spans="1:13">
      <c r="A357" s="201">
        <v>2</v>
      </c>
      <c r="B357" s="202" t="s">
        <v>666</v>
      </c>
      <c r="C357" s="217" t="s">
        <v>353</v>
      </c>
      <c r="D357" s="299">
        <v>1</v>
      </c>
      <c r="E357" s="302">
        <v>2500</v>
      </c>
      <c r="F357" s="204"/>
      <c r="G357" s="283"/>
      <c r="H357" s="273"/>
      <c r="I357" s="356"/>
      <c r="J357" s="273"/>
      <c r="K357" s="273"/>
    </row>
    <row r="358" spans="1:13">
      <c r="A358" s="205">
        <v>3</v>
      </c>
      <c r="B358" s="206" t="s">
        <v>587</v>
      </c>
      <c r="C358" s="209" t="s">
        <v>353</v>
      </c>
      <c r="D358" s="299">
        <v>1</v>
      </c>
      <c r="E358" s="302">
        <f>1300+400</f>
        <v>1700</v>
      </c>
      <c r="F358" s="208"/>
      <c r="G358" s="283"/>
      <c r="H358" s="273"/>
      <c r="I358" s="356"/>
      <c r="J358" s="273"/>
      <c r="K358" s="273"/>
      <c r="L358" s="1"/>
      <c r="M358" s="1"/>
    </row>
    <row r="359" spans="1:13">
      <c r="A359" s="205">
        <v>4</v>
      </c>
      <c r="B359" s="206" t="s">
        <v>422</v>
      </c>
      <c r="C359" s="209" t="s">
        <v>353</v>
      </c>
      <c r="D359" s="299">
        <v>1</v>
      </c>
      <c r="E359" s="302">
        <v>1149</v>
      </c>
      <c r="F359" s="208"/>
      <c r="G359" s="283"/>
      <c r="H359" s="273"/>
      <c r="I359" s="356"/>
      <c r="J359" s="273"/>
      <c r="K359" s="273"/>
    </row>
    <row r="360" spans="1:13">
      <c r="A360" s="205">
        <v>5</v>
      </c>
      <c r="B360" s="206" t="s">
        <v>423</v>
      </c>
      <c r="C360" s="209" t="s">
        <v>353</v>
      </c>
      <c r="D360" s="299">
        <f>1+1</f>
        <v>2</v>
      </c>
      <c r="E360" s="302">
        <f>2000+2000</f>
        <v>4000</v>
      </c>
      <c r="F360" s="208"/>
      <c r="G360" s="283"/>
      <c r="H360" s="273"/>
      <c r="I360" s="356"/>
      <c r="J360" s="273"/>
      <c r="K360" s="273"/>
    </row>
    <row r="361" spans="1:13" ht="25.5">
      <c r="A361" s="205">
        <v>6</v>
      </c>
      <c r="B361" s="231" t="s">
        <v>525</v>
      </c>
      <c r="C361" s="319" t="s">
        <v>353</v>
      </c>
      <c r="D361" s="301">
        <v>1</v>
      </c>
      <c r="E361" s="306">
        <v>4500</v>
      </c>
      <c r="F361" s="208"/>
      <c r="G361" s="283"/>
      <c r="H361" s="360"/>
      <c r="I361" s="361"/>
      <c r="J361" s="360"/>
      <c r="K361" s="273"/>
    </row>
    <row r="362" spans="1:13">
      <c r="A362" s="205">
        <v>7</v>
      </c>
      <c r="B362" s="206" t="s">
        <v>424</v>
      </c>
      <c r="C362" s="209" t="s">
        <v>353</v>
      </c>
      <c r="D362" s="299">
        <v>1</v>
      </c>
      <c r="E362" s="302">
        <v>4000</v>
      </c>
      <c r="F362" s="208"/>
      <c r="G362" s="283"/>
      <c r="H362" s="273"/>
      <c r="I362" s="356"/>
      <c r="J362" s="273"/>
      <c r="K362" s="273"/>
    </row>
    <row r="363" spans="1:13">
      <c r="A363" s="205">
        <v>8</v>
      </c>
      <c r="B363" s="206" t="s">
        <v>425</v>
      </c>
      <c r="C363" s="209" t="s">
        <v>387</v>
      </c>
      <c r="D363" s="299">
        <f>1+1+1</f>
        <v>3</v>
      </c>
      <c r="E363" s="302">
        <f>1200+600+600</f>
        <v>2400</v>
      </c>
      <c r="F363" s="208"/>
      <c r="G363" s="283"/>
      <c r="H363" s="273"/>
      <c r="I363" s="356"/>
      <c r="J363" s="273"/>
      <c r="K363" s="273"/>
    </row>
    <row r="364" spans="1:13">
      <c r="A364" s="205">
        <v>9</v>
      </c>
      <c r="B364" s="206" t="s">
        <v>527</v>
      </c>
      <c r="C364" s="209" t="s">
        <v>387</v>
      </c>
      <c r="D364" s="299">
        <v>1</v>
      </c>
      <c r="E364" s="302">
        <f>2999</f>
        <v>2999</v>
      </c>
      <c r="F364" s="208"/>
      <c r="G364" s="283"/>
      <c r="H364" s="273"/>
      <c r="I364" s="356"/>
      <c r="J364" s="356"/>
      <c r="K364" s="273"/>
    </row>
    <row r="365" spans="1:13" s="1" customFormat="1">
      <c r="A365" s="205">
        <v>10</v>
      </c>
      <c r="B365" s="206" t="s">
        <v>547</v>
      </c>
      <c r="C365" s="209" t="s">
        <v>387</v>
      </c>
      <c r="D365" s="299">
        <v>1</v>
      </c>
      <c r="E365" s="302">
        <v>950</v>
      </c>
      <c r="F365" s="208"/>
      <c r="G365" s="283"/>
      <c r="H365" s="273"/>
      <c r="I365" s="356"/>
      <c r="J365" s="273"/>
      <c r="K365" s="273"/>
    </row>
    <row r="366" spans="1:13">
      <c r="A366" s="205">
        <v>11</v>
      </c>
      <c r="B366" s="206" t="s">
        <v>426</v>
      </c>
      <c r="C366" s="209" t="s">
        <v>387</v>
      </c>
      <c r="D366" s="300">
        <f>1+1+2+2</f>
        <v>6</v>
      </c>
      <c r="E366" s="305">
        <f>600+349+1200+1200</f>
        <v>3349</v>
      </c>
      <c r="F366" s="208"/>
      <c r="G366" s="283"/>
      <c r="H366" s="273"/>
      <c r="I366" s="356"/>
      <c r="J366" s="273"/>
      <c r="K366" s="273"/>
    </row>
    <row r="367" spans="1:13">
      <c r="A367" s="205">
        <v>11</v>
      </c>
      <c r="B367" s="206" t="s">
        <v>427</v>
      </c>
      <c r="C367" s="209" t="s">
        <v>387</v>
      </c>
      <c r="D367" s="300">
        <f>2+2</f>
        <v>4</v>
      </c>
      <c r="E367" s="305">
        <f>100+100</f>
        <v>200</v>
      </c>
      <c r="F367" s="208"/>
      <c r="G367" s="283"/>
      <c r="H367" s="273"/>
      <c r="I367" s="356"/>
      <c r="J367" s="372"/>
      <c r="K367" s="273"/>
    </row>
    <row r="368" spans="1:13">
      <c r="A368" s="205">
        <v>12</v>
      </c>
      <c r="B368" s="206" t="s">
        <v>551</v>
      </c>
      <c r="C368" s="209" t="s">
        <v>353</v>
      </c>
      <c r="D368" s="299">
        <v>1</v>
      </c>
      <c r="E368" s="302">
        <v>306.02</v>
      </c>
      <c r="F368" s="208"/>
      <c r="G368" s="283"/>
      <c r="H368" s="273"/>
      <c r="I368" s="356"/>
      <c r="J368" s="273"/>
      <c r="K368" s="273"/>
    </row>
    <row r="369" spans="1:13" s="1" customFormat="1">
      <c r="A369" s="205">
        <v>13</v>
      </c>
      <c r="B369" s="202" t="s">
        <v>429</v>
      </c>
      <c r="C369" s="203" t="s">
        <v>353</v>
      </c>
      <c r="D369" s="299">
        <v>3</v>
      </c>
      <c r="E369" s="302">
        <f>100+800</f>
        <v>900</v>
      </c>
      <c r="F369" s="208"/>
      <c r="G369" s="283"/>
      <c r="H369" s="273"/>
      <c r="I369" s="356"/>
      <c r="J369" s="273"/>
      <c r="K369" s="273"/>
    </row>
    <row r="370" spans="1:13" s="1" customFormat="1">
      <c r="A370" s="205">
        <v>14</v>
      </c>
      <c r="B370" s="206" t="s">
        <v>641</v>
      </c>
      <c r="C370" s="209" t="s">
        <v>353</v>
      </c>
      <c r="D370" s="299">
        <v>1</v>
      </c>
      <c r="E370" s="302">
        <v>557.17999999999995</v>
      </c>
      <c r="F370" s="208"/>
      <c r="G370" s="283"/>
      <c r="H370" s="273"/>
      <c r="I370" s="356"/>
      <c r="J370" s="273"/>
      <c r="K370" s="273"/>
    </row>
    <row r="371" spans="1:13" s="1" customFormat="1">
      <c r="A371" s="205">
        <v>15</v>
      </c>
      <c r="B371" s="339" t="s">
        <v>740</v>
      </c>
      <c r="C371" s="225" t="s">
        <v>353</v>
      </c>
      <c r="D371" s="300">
        <v>100</v>
      </c>
      <c r="E371" s="305">
        <v>1610</v>
      </c>
      <c r="F371" s="278"/>
      <c r="G371" s="283"/>
      <c r="H371" s="273"/>
      <c r="I371" s="356"/>
      <c r="J371" s="365"/>
      <c r="K371" s="273"/>
    </row>
    <row r="372" spans="1:13" s="1" customFormat="1">
      <c r="A372" s="205">
        <v>16</v>
      </c>
      <c r="B372" s="339" t="s">
        <v>741</v>
      </c>
      <c r="C372" s="225" t="s">
        <v>353</v>
      </c>
      <c r="D372" s="300">
        <v>100</v>
      </c>
      <c r="E372" s="305">
        <f>3400+150</f>
        <v>3550</v>
      </c>
      <c r="F372" s="278"/>
      <c r="G372" s="283"/>
      <c r="H372" s="273"/>
      <c r="I372" s="356"/>
      <c r="J372" s="365"/>
      <c r="K372" s="273"/>
    </row>
    <row r="373" spans="1:13">
      <c r="A373" s="205">
        <v>17</v>
      </c>
      <c r="B373" s="339" t="s">
        <v>428</v>
      </c>
      <c r="C373" s="321" t="s">
        <v>387</v>
      </c>
      <c r="D373" s="300">
        <v>1</v>
      </c>
      <c r="E373" s="305">
        <v>100</v>
      </c>
      <c r="F373" s="278"/>
      <c r="G373" s="283"/>
      <c r="H373" s="273"/>
      <c r="I373" s="356"/>
      <c r="J373" s="273"/>
      <c r="K373" s="273"/>
    </row>
    <row r="374" spans="1:13">
      <c r="A374" s="201">
        <v>18</v>
      </c>
      <c r="B374" s="339" t="s">
        <v>566</v>
      </c>
      <c r="C374" s="340" t="s">
        <v>387</v>
      </c>
      <c r="D374" s="300">
        <f>10+10</f>
        <v>20</v>
      </c>
      <c r="E374" s="305">
        <f>930+870</f>
        <v>1800</v>
      </c>
      <c r="F374" s="312"/>
      <c r="G374" s="283"/>
      <c r="H374" s="273"/>
      <c r="I374" s="356"/>
      <c r="J374" s="273"/>
      <c r="K374" s="273"/>
    </row>
    <row r="375" spans="1:13" s="1" customFormat="1">
      <c r="A375" s="201">
        <v>19</v>
      </c>
      <c r="B375" s="339" t="s">
        <v>742</v>
      </c>
      <c r="C375" s="340" t="s">
        <v>387</v>
      </c>
      <c r="D375" s="300">
        <v>5</v>
      </c>
      <c r="E375" s="305">
        <v>312</v>
      </c>
      <c r="F375" s="312"/>
      <c r="G375" s="283"/>
      <c r="H375" s="273"/>
      <c r="I375" s="356"/>
      <c r="J375" s="365"/>
      <c r="K375" s="273"/>
    </row>
    <row r="376" spans="1:13" ht="25.5">
      <c r="A376" s="353">
        <v>20</v>
      </c>
      <c r="B376" s="341" t="s">
        <v>567</v>
      </c>
      <c r="C376" s="338" t="s">
        <v>387</v>
      </c>
      <c r="D376" s="101">
        <v>10</v>
      </c>
      <c r="E376" s="315">
        <v>859</v>
      </c>
      <c r="F376" s="342"/>
      <c r="G376" s="285"/>
      <c r="H376" s="360"/>
      <c r="I376" s="361"/>
      <c r="J376" s="360"/>
      <c r="K376" s="273"/>
    </row>
    <row r="377" spans="1:13" ht="25.5">
      <c r="A377" s="353">
        <v>21</v>
      </c>
      <c r="B377" s="341" t="s">
        <v>611</v>
      </c>
      <c r="C377" s="338" t="s">
        <v>387</v>
      </c>
      <c r="D377" s="101">
        <v>10</v>
      </c>
      <c r="E377" s="315">
        <f>673</f>
        <v>673</v>
      </c>
      <c r="F377" s="312"/>
      <c r="G377" s="283"/>
      <c r="H377" s="360"/>
      <c r="I377" s="361"/>
      <c r="J377" s="360"/>
      <c r="K377" s="273"/>
    </row>
    <row r="378" spans="1:13" s="1" customFormat="1" ht="25.5">
      <c r="A378" s="353">
        <v>22</v>
      </c>
      <c r="B378" s="341" t="s">
        <v>729</v>
      </c>
      <c r="C378" s="338" t="s">
        <v>387</v>
      </c>
      <c r="D378" s="101">
        <v>25</v>
      </c>
      <c r="E378" s="315">
        <v>1777.5</v>
      </c>
      <c r="F378" s="312"/>
      <c r="G378" s="283"/>
      <c r="H378" s="360"/>
      <c r="I378" s="361"/>
      <c r="J378" s="368"/>
      <c r="K378" s="273"/>
    </row>
    <row r="379" spans="1:13">
      <c r="A379" s="201">
        <v>23</v>
      </c>
      <c r="B379" s="339" t="s">
        <v>681</v>
      </c>
      <c r="C379" s="340" t="s">
        <v>387</v>
      </c>
      <c r="D379" s="300">
        <v>30</v>
      </c>
      <c r="E379" s="305">
        <v>459</v>
      </c>
      <c r="F379" s="312"/>
      <c r="G379" s="283"/>
      <c r="H379" s="273"/>
      <c r="I379" s="356"/>
      <c r="J379" s="273"/>
      <c r="K379" s="273"/>
    </row>
    <row r="380" spans="1:13" s="1" customFormat="1" ht="25.5">
      <c r="A380" s="353">
        <v>24</v>
      </c>
      <c r="B380" s="341" t="s">
        <v>685</v>
      </c>
      <c r="C380" s="338" t="s">
        <v>355</v>
      </c>
      <c r="D380" s="101">
        <v>10</v>
      </c>
      <c r="E380" s="315">
        <v>3280</v>
      </c>
      <c r="F380" s="342"/>
      <c r="G380" s="285"/>
      <c r="H380" s="360"/>
      <c r="I380" s="361"/>
      <c r="J380" s="360"/>
      <c r="K380" s="356"/>
      <c r="L380" s="67"/>
      <c r="M380" s="67"/>
    </row>
    <row r="381" spans="1:13" ht="15.75" thickBot="1">
      <c r="A381" s="201">
        <v>25</v>
      </c>
      <c r="B381" s="343" t="s">
        <v>728</v>
      </c>
      <c r="C381" s="340" t="s">
        <v>353</v>
      </c>
      <c r="D381" s="300">
        <v>1</v>
      </c>
      <c r="E381" s="305">
        <v>963.3</v>
      </c>
      <c r="F381" s="312"/>
      <c r="G381" s="283"/>
      <c r="H381" s="273"/>
      <c r="I381" s="356"/>
      <c r="J381" s="368"/>
      <c r="K381" s="273"/>
    </row>
    <row r="382" spans="1:13">
      <c r="A382" s="532"/>
      <c r="B382" s="456" t="s">
        <v>430</v>
      </c>
      <c r="C382" s="477"/>
      <c r="D382" s="477"/>
      <c r="E382" s="481">
        <f>E6+E128+E143+E166+E207+E222+E226+E261+E276+E288+E292+E344+E354</f>
        <v>834584.82799999986</v>
      </c>
      <c r="F382" s="565"/>
      <c r="G382" s="308"/>
      <c r="H382" s="534"/>
      <c r="I382" s="552"/>
      <c r="J382" s="554"/>
      <c r="K382" s="273"/>
    </row>
    <row r="383" spans="1:13" ht="15.75" thickBot="1">
      <c r="A383" s="533"/>
      <c r="B383" s="457"/>
      <c r="C383" s="478"/>
      <c r="D383" s="478"/>
      <c r="E383" s="482"/>
      <c r="F383" s="566"/>
      <c r="G383" s="286"/>
      <c r="H383" s="534"/>
      <c r="I383" s="553"/>
      <c r="J383" s="555"/>
      <c r="K383" s="273"/>
    </row>
    <row r="384" spans="1:13" s="1" customFormat="1">
      <c r="A384" s="416"/>
      <c r="B384" s="417"/>
      <c r="C384" s="418"/>
      <c r="D384" s="418"/>
      <c r="E384" s="419"/>
      <c r="F384" s="308"/>
      <c r="G384" s="286"/>
      <c r="H384" s="363"/>
      <c r="I384" s="362"/>
      <c r="J384" s="366"/>
      <c r="K384" s="273"/>
    </row>
    <row r="385" spans="1:11" s="1" customFormat="1">
      <c r="A385" s="416"/>
      <c r="B385" s="417"/>
      <c r="C385" s="418"/>
      <c r="D385" s="418"/>
      <c r="E385" s="419"/>
      <c r="F385" s="308"/>
      <c r="G385" s="286"/>
      <c r="H385" s="363"/>
      <c r="I385" s="362"/>
      <c r="J385" s="366"/>
      <c r="K385" s="273"/>
    </row>
    <row r="386" spans="1:11" s="1" customFormat="1">
      <c r="A386" s="416"/>
      <c r="B386" s="417"/>
      <c r="C386" s="418"/>
      <c r="D386" s="418"/>
      <c r="E386" s="419"/>
      <c r="F386" s="308"/>
      <c r="G386" s="286"/>
      <c r="H386" s="363"/>
      <c r="I386" s="362"/>
      <c r="J386" s="366"/>
      <c r="K386" s="273"/>
    </row>
    <row r="387" spans="1:11" s="1" customFormat="1">
      <c r="A387" s="416"/>
      <c r="B387" s="417"/>
      <c r="C387" s="418"/>
      <c r="D387" s="418"/>
      <c r="E387" s="419"/>
      <c r="F387" s="308"/>
      <c r="G387" s="286"/>
      <c r="H387" s="363"/>
      <c r="I387" s="362"/>
      <c r="J387" s="366"/>
      <c r="K387" s="273"/>
    </row>
    <row r="388" spans="1:11" s="1" customFormat="1">
      <c r="A388" s="416"/>
      <c r="B388" s="417"/>
      <c r="C388" s="418"/>
      <c r="D388" s="418"/>
      <c r="E388" s="419"/>
      <c r="F388" s="308"/>
      <c r="G388" s="286"/>
      <c r="H388" s="363"/>
      <c r="I388" s="362"/>
      <c r="J388" s="366"/>
      <c r="K388" s="273"/>
    </row>
    <row r="389" spans="1:11" s="1" customFormat="1">
      <c r="A389" s="416"/>
      <c r="B389" s="417"/>
      <c r="C389" s="418"/>
      <c r="D389" s="418"/>
      <c r="E389" s="419"/>
      <c r="F389" s="308"/>
      <c r="G389" s="286"/>
      <c r="H389" s="363"/>
      <c r="I389" s="362"/>
      <c r="J389" s="366"/>
      <c r="K389" s="273"/>
    </row>
    <row r="390" spans="1:11" s="1" customFormat="1">
      <c r="A390" s="416"/>
      <c r="B390" s="417"/>
      <c r="C390" s="418"/>
      <c r="D390" s="418"/>
      <c r="E390" s="419"/>
      <c r="F390" s="308"/>
      <c r="G390" s="286"/>
      <c r="H390" s="363"/>
      <c r="I390" s="362"/>
      <c r="J390" s="366"/>
      <c r="K390" s="273"/>
    </row>
    <row r="391" spans="1:11" s="1" customFormat="1">
      <c r="A391" s="416"/>
      <c r="B391" s="417"/>
      <c r="C391" s="418"/>
      <c r="D391" s="418"/>
      <c r="E391" s="419"/>
      <c r="F391" s="308"/>
      <c r="G391" s="286"/>
      <c r="H391" s="363"/>
      <c r="I391" s="362"/>
      <c r="J391" s="366"/>
      <c r="K391" s="273"/>
    </row>
    <row r="392" spans="1:11" s="1" customFormat="1">
      <c r="A392" s="416"/>
      <c r="B392" s="417"/>
      <c r="C392" s="418"/>
      <c r="D392" s="418"/>
      <c r="E392" s="419"/>
      <c r="F392" s="308"/>
      <c r="G392" s="286"/>
      <c r="H392" s="363"/>
      <c r="I392" s="362"/>
      <c r="J392" s="366"/>
      <c r="K392" s="273"/>
    </row>
    <row r="393" spans="1:11" s="1" customFormat="1">
      <c r="A393" s="416"/>
      <c r="B393" s="417"/>
      <c r="C393" s="418"/>
      <c r="D393" s="418"/>
      <c r="E393" s="419"/>
      <c r="F393" s="308"/>
      <c r="G393" s="286"/>
      <c r="H393" s="363"/>
      <c r="I393" s="362"/>
      <c r="J393" s="366"/>
      <c r="K393" s="273"/>
    </row>
    <row r="394" spans="1:11" s="1" customFormat="1">
      <c r="A394" s="416"/>
      <c r="B394" s="417"/>
      <c r="C394" s="418"/>
      <c r="D394" s="418"/>
      <c r="E394" s="419"/>
      <c r="F394" s="308"/>
      <c r="G394" s="286"/>
      <c r="H394" s="363"/>
      <c r="I394" s="362"/>
      <c r="J394" s="366"/>
      <c r="K394" s="273"/>
    </row>
    <row r="395" spans="1:11" s="1" customFormat="1">
      <c r="A395" s="416"/>
      <c r="B395" s="417"/>
      <c r="C395" s="418"/>
      <c r="D395" s="418"/>
      <c r="E395" s="419"/>
      <c r="F395" s="308"/>
      <c r="G395" s="286"/>
      <c r="H395" s="363"/>
      <c r="I395" s="362"/>
      <c r="J395" s="366"/>
      <c r="K395" s="273"/>
    </row>
    <row r="396" spans="1:11" s="1" customFormat="1">
      <c r="A396" s="416"/>
      <c r="B396" s="417"/>
      <c r="C396" s="418"/>
      <c r="D396" s="418"/>
      <c r="E396" s="419"/>
      <c r="F396" s="308"/>
      <c r="G396" s="286"/>
      <c r="H396" s="363"/>
      <c r="I396" s="362"/>
      <c r="J396" s="366"/>
      <c r="K396" s="273"/>
    </row>
    <row r="397" spans="1:11" s="1" customFormat="1">
      <c r="A397" s="416"/>
      <c r="B397" s="417"/>
      <c r="C397" s="418"/>
      <c r="D397" s="418"/>
      <c r="E397" s="419"/>
      <c r="F397" s="308"/>
      <c r="G397" s="286"/>
      <c r="H397" s="363"/>
      <c r="I397" s="362"/>
      <c r="J397" s="366"/>
      <c r="K397" s="273"/>
    </row>
    <row r="398" spans="1:11" s="1" customFormat="1">
      <c r="A398" s="416"/>
      <c r="B398" s="417"/>
      <c r="C398" s="418"/>
      <c r="D398" s="418"/>
      <c r="E398" s="419"/>
      <c r="F398" s="308"/>
      <c r="G398" s="286"/>
      <c r="H398" s="363"/>
      <c r="I398" s="362"/>
      <c r="J398" s="366"/>
      <c r="K398" s="273"/>
    </row>
    <row r="399" spans="1:11" s="1" customFormat="1">
      <c r="A399" s="416"/>
      <c r="B399" s="417"/>
      <c r="C399" s="418"/>
      <c r="D399" s="418"/>
      <c r="E399" s="419"/>
      <c r="F399" s="308"/>
      <c r="G399" s="286"/>
      <c r="H399" s="363"/>
      <c r="I399" s="362"/>
      <c r="J399" s="366"/>
      <c r="K399" s="273"/>
    </row>
    <row r="400" spans="1:11" s="1" customFormat="1">
      <c r="A400" s="416"/>
      <c r="B400" s="417"/>
      <c r="C400" s="418"/>
      <c r="D400" s="418"/>
      <c r="E400" s="419"/>
      <c r="F400" s="308"/>
      <c r="G400" s="286"/>
      <c r="H400" s="363"/>
      <c r="I400" s="362"/>
      <c r="J400" s="366"/>
      <c r="K400" s="273"/>
    </row>
    <row r="401" spans="1:11" s="1" customFormat="1">
      <c r="A401" s="416"/>
      <c r="B401" s="417"/>
      <c r="C401" s="418"/>
      <c r="D401" s="418"/>
      <c r="E401" s="419"/>
      <c r="F401" s="308"/>
      <c r="G401" s="286"/>
      <c r="H401" s="363"/>
      <c r="I401" s="362"/>
      <c r="J401" s="366"/>
      <c r="K401" s="273"/>
    </row>
    <row r="402" spans="1:11" s="1" customFormat="1">
      <c r="A402" s="416"/>
      <c r="B402" s="417"/>
      <c r="C402" s="418"/>
      <c r="D402" s="418"/>
      <c r="E402" s="419"/>
      <c r="F402" s="308"/>
      <c r="G402" s="286"/>
      <c r="H402" s="363"/>
      <c r="I402" s="362"/>
      <c r="J402" s="366"/>
      <c r="K402" s="273"/>
    </row>
    <row r="403" spans="1:11" s="1" customFormat="1">
      <c r="A403" s="416"/>
      <c r="B403" s="417"/>
      <c r="C403" s="418"/>
      <c r="D403" s="418"/>
      <c r="E403" s="419"/>
      <c r="F403" s="308"/>
      <c r="G403" s="286"/>
      <c r="H403" s="363"/>
      <c r="I403" s="362"/>
      <c r="J403" s="366"/>
      <c r="K403" s="273"/>
    </row>
    <row r="404" spans="1:11" s="1" customFormat="1">
      <c r="A404" s="416"/>
      <c r="B404" s="417"/>
      <c r="C404" s="418"/>
      <c r="D404" s="418"/>
      <c r="E404" s="419"/>
      <c r="F404" s="308"/>
      <c r="G404" s="286"/>
      <c r="H404" s="363"/>
      <c r="I404" s="362"/>
      <c r="J404" s="366"/>
      <c r="K404" s="273"/>
    </row>
    <row r="405" spans="1:11" s="1" customFormat="1">
      <c r="A405" s="416"/>
      <c r="B405" s="417"/>
      <c r="C405" s="418"/>
      <c r="D405" s="418"/>
      <c r="E405" s="419"/>
      <c r="F405" s="308"/>
      <c r="G405" s="286"/>
      <c r="H405" s="363"/>
      <c r="I405" s="362"/>
      <c r="J405" s="366"/>
      <c r="K405" s="273"/>
    </row>
    <row r="406" spans="1:11" s="1" customFormat="1">
      <c r="A406" s="416"/>
      <c r="B406" s="417"/>
      <c r="C406" s="418"/>
      <c r="D406" s="418"/>
      <c r="E406" s="419"/>
      <c r="F406" s="308"/>
      <c r="G406" s="286"/>
      <c r="H406" s="363"/>
      <c r="I406" s="362"/>
      <c r="J406" s="366"/>
      <c r="K406" s="273"/>
    </row>
    <row r="407" spans="1:11" s="1" customFormat="1">
      <c r="A407" s="416"/>
      <c r="B407" s="417"/>
      <c r="C407" s="418"/>
      <c r="D407" s="418"/>
      <c r="E407" s="419"/>
      <c r="F407" s="308"/>
      <c r="G407" s="286"/>
      <c r="H407" s="363"/>
      <c r="I407" s="362"/>
      <c r="J407" s="366"/>
      <c r="K407" s="273"/>
    </row>
    <row r="408" spans="1:11" s="1" customFormat="1">
      <c r="A408" s="416"/>
      <c r="B408" s="417"/>
      <c r="C408" s="418"/>
      <c r="D408" s="418"/>
      <c r="E408" s="419"/>
      <c r="F408" s="308"/>
      <c r="G408" s="286"/>
      <c r="H408" s="363"/>
      <c r="I408" s="362"/>
      <c r="J408" s="366"/>
      <c r="K408" s="273"/>
    </row>
    <row r="409" spans="1:11" s="1" customFormat="1">
      <c r="A409" s="416"/>
      <c r="B409" s="417"/>
      <c r="C409" s="418"/>
      <c r="D409" s="418"/>
      <c r="E409" s="419"/>
      <c r="F409" s="308"/>
      <c r="G409" s="286"/>
      <c r="H409" s="363"/>
      <c r="I409" s="362"/>
      <c r="J409" s="366"/>
      <c r="K409" s="273"/>
    </row>
    <row r="410" spans="1:11" s="1" customFormat="1">
      <c r="A410" s="416"/>
      <c r="B410" s="417"/>
      <c r="C410" s="418"/>
      <c r="D410" s="418"/>
      <c r="E410" s="419"/>
      <c r="F410" s="308"/>
      <c r="G410" s="286"/>
      <c r="H410" s="363"/>
      <c r="I410" s="362"/>
      <c r="J410" s="366"/>
      <c r="K410" s="273"/>
    </row>
    <row r="411" spans="1:11" s="1" customFormat="1">
      <c r="A411" s="416"/>
      <c r="B411" s="417"/>
      <c r="C411" s="418"/>
      <c r="D411" s="418"/>
      <c r="E411" s="419"/>
      <c r="F411" s="308"/>
      <c r="G411" s="286"/>
      <c r="H411" s="363"/>
      <c r="I411" s="362"/>
      <c r="J411" s="366"/>
      <c r="K411" s="273"/>
    </row>
    <row r="412" spans="1:11" s="1" customFormat="1">
      <c r="A412" s="416"/>
      <c r="B412" s="417"/>
      <c r="C412" s="418"/>
      <c r="D412" s="418"/>
      <c r="E412" s="419"/>
      <c r="F412" s="308"/>
      <c r="G412" s="286"/>
      <c r="H412" s="363"/>
      <c r="I412" s="362"/>
      <c r="J412" s="366"/>
      <c r="K412" s="273"/>
    </row>
    <row r="413" spans="1:11" s="1" customFormat="1">
      <c r="A413" s="416"/>
      <c r="B413" s="417"/>
      <c r="C413" s="418"/>
      <c r="D413" s="418"/>
      <c r="E413" s="419"/>
      <c r="F413" s="308"/>
      <c r="G413" s="286"/>
      <c r="H413" s="363"/>
      <c r="I413" s="362"/>
      <c r="J413" s="366"/>
      <c r="K413" s="273"/>
    </row>
    <row r="414" spans="1:11" s="1" customFormat="1">
      <c r="A414" s="416"/>
      <c r="B414" s="417"/>
      <c r="C414" s="418"/>
      <c r="D414" s="418"/>
      <c r="E414" s="419"/>
      <c r="F414" s="308"/>
      <c r="G414" s="286"/>
      <c r="H414" s="363"/>
      <c r="I414" s="362"/>
      <c r="J414" s="366"/>
      <c r="K414" s="273"/>
    </row>
    <row r="415" spans="1:11" s="1" customFormat="1">
      <c r="A415" s="416"/>
      <c r="B415" s="417"/>
      <c r="C415" s="418"/>
      <c r="D415" s="418"/>
      <c r="E415" s="419"/>
      <c r="F415" s="308"/>
      <c r="G415" s="286"/>
      <c r="H415" s="363"/>
      <c r="I415" s="362"/>
      <c r="J415" s="366"/>
      <c r="K415" s="273"/>
    </row>
    <row r="416" spans="1:11" s="1" customFormat="1" ht="15.75" thickBot="1">
      <c r="A416" s="416"/>
      <c r="B416" s="417"/>
      <c r="C416" s="418"/>
      <c r="D416" s="418"/>
      <c r="E416" s="419"/>
      <c r="F416" s="308"/>
      <c r="G416" s="286"/>
      <c r="H416" s="363"/>
      <c r="I416" s="362"/>
      <c r="J416" s="366"/>
      <c r="K416" s="273"/>
    </row>
    <row r="417" spans="1:11" ht="26.25" thickBot="1">
      <c r="A417" s="237" t="s">
        <v>0</v>
      </c>
      <c r="B417" s="515" t="s">
        <v>348</v>
      </c>
      <c r="C417" s="516"/>
      <c r="D417" s="238" t="s">
        <v>349</v>
      </c>
      <c r="E417" s="239" t="s">
        <v>431</v>
      </c>
      <c r="F417" s="1"/>
      <c r="H417" s="534"/>
      <c r="I417" s="534"/>
      <c r="J417" s="534"/>
      <c r="K417" s="534"/>
    </row>
    <row r="418" spans="1:11">
      <c r="A418" s="240"/>
      <c r="B418" s="517" t="s">
        <v>432</v>
      </c>
      <c r="C418" s="518"/>
      <c r="D418" s="241"/>
      <c r="E418" s="242"/>
      <c r="F418" s="1"/>
      <c r="H418" s="273"/>
      <c r="I418" s="357"/>
      <c r="J418" s="273"/>
      <c r="K418" s="357"/>
    </row>
    <row r="419" spans="1:11">
      <c r="A419" s="243">
        <v>1</v>
      </c>
      <c r="B419" s="519" t="s">
        <v>433</v>
      </c>
      <c r="C419" s="520"/>
      <c r="D419" s="244">
        <v>1</v>
      </c>
      <c r="E419" s="245">
        <v>26400</v>
      </c>
      <c r="F419" s="1"/>
      <c r="H419" s="273"/>
      <c r="I419" s="357"/>
      <c r="J419" s="273"/>
      <c r="K419" s="357"/>
    </row>
    <row r="420" spans="1:11">
      <c r="A420" s="243">
        <v>2</v>
      </c>
      <c r="B420" s="519" t="s">
        <v>434</v>
      </c>
      <c r="C420" s="520"/>
      <c r="D420" s="244">
        <v>1</v>
      </c>
      <c r="E420" s="246">
        <v>27559</v>
      </c>
      <c r="F420" s="1"/>
      <c r="H420" s="273"/>
      <c r="I420" s="357"/>
      <c r="J420" s="273"/>
      <c r="K420" s="357"/>
    </row>
    <row r="421" spans="1:11" ht="15.75" thickBot="1">
      <c r="A421" s="247">
        <v>3</v>
      </c>
      <c r="B421" s="530" t="s">
        <v>435</v>
      </c>
      <c r="C421" s="531"/>
      <c r="D421" s="248">
        <v>1</v>
      </c>
      <c r="E421" s="249">
        <v>6476</v>
      </c>
      <c r="F421" s="1"/>
      <c r="H421" s="273"/>
      <c r="I421" s="357"/>
      <c r="J421" s="273"/>
      <c r="K421" s="357"/>
    </row>
    <row r="422" spans="1:11" ht="15.75" thickBot="1">
      <c r="A422" s="250"/>
      <c r="B422" s="524" t="s">
        <v>174</v>
      </c>
      <c r="C422" s="525"/>
      <c r="D422" s="251"/>
      <c r="E422" s="252">
        <v>60435</v>
      </c>
      <c r="F422" s="1"/>
      <c r="H422" s="273"/>
      <c r="I422" s="357"/>
      <c r="J422" s="273"/>
      <c r="K422" s="357"/>
    </row>
    <row r="423" spans="1:11">
      <c r="A423" s="240"/>
      <c r="B423" s="517" t="s">
        <v>436</v>
      </c>
      <c r="C423" s="518"/>
      <c r="D423" s="253"/>
      <c r="E423" s="254"/>
      <c r="F423" s="1"/>
      <c r="H423" s="273"/>
      <c r="I423" s="357"/>
      <c r="J423" s="273"/>
      <c r="K423" s="357"/>
    </row>
    <row r="424" spans="1:11">
      <c r="A424" s="243">
        <v>4</v>
      </c>
      <c r="B424" s="521" t="s">
        <v>437</v>
      </c>
      <c r="C424" s="522"/>
      <c r="D424" s="244">
        <v>1</v>
      </c>
      <c r="E424" s="255">
        <v>6226.28</v>
      </c>
      <c r="F424" s="1"/>
      <c r="H424" s="273"/>
      <c r="I424" s="357"/>
      <c r="J424" s="273"/>
      <c r="K424" s="357"/>
    </row>
    <row r="425" spans="1:11">
      <c r="A425" s="243">
        <v>5</v>
      </c>
      <c r="B425" s="521" t="s">
        <v>438</v>
      </c>
      <c r="C425" s="522"/>
      <c r="D425" s="244">
        <v>1</v>
      </c>
      <c r="E425" s="255">
        <v>6879.64</v>
      </c>
      <c r="F425" s="1"/>
      <c r="H425" s="273"/>
      <c r="I425" s="357"/>
      <c r="J425" s="273"/>
      <c r="K425" s="357"/>
    </row>
    <row r="426" spans="1:11">
      <c r="A426" s="243">
        <v>6</v>
      </c>
      <c r="B426" s="521" t="s">
        <v>439</v>
      </c>
      <c r="C426" s="522"/>
      <c r="D426" s="244">
        <v>1</v>
      </c>
      <c r="E426" s="255">
        <v>5277.9</v>
      </c>
      <c r="F426" s="1"/>
      <c r="H426" s="273"/>
      <c r="I426" s="357"/>
      <c r="J426" s="273"/>
      <c r="K426" s="357"/>
    </row>
    <row r="427" spans="1:11">
      <c r="A427" s="243">
        <v>7</v>
      </c>
      <c r="B427" s="521" t="s">
        <v>440</v>
      </c>
      <c r="C427" s="522"/>
      <c r="D427" s="244">
        <v>1</v>
      </c>
      <c r="E427" s="255">
        <v>3906</v>
      </c>
      <c r="F427" s="1"/>
      <c r="H427" s="273"/>
      <c r="I427" s="357"/>
      <c r="J427" s="273"/>
      <c r="K427" s="357"/>
    </row>
    <row r="428" spans="1:11">
      <c r="A428" s="243">
        <v>8</v>
      </c>
      <c r="B428" s="521" t="s">
        <v>441</v>
      </c>
      <c r="C428" s="522"/>
      <c r="D428" s="244">
        <v>1</v>
      </c>
      <c r="E428" s="255">
        <v>5905.6</v>
      </c>
      <c r="F428" s="1"/>
      <c r="H428" s="273"/>
      <c r="I428" s="357"/>
      <c r="J428" s="273"/>
      <c r="K428" s="357"/>
    </row>
    <row r="429" spans="1:11" ht="15.75" thickBot="1">
      <c r="A429" s="247">
        <v>9</v>
      </c>
      <c r="B429" s="523" t="s">
        <v>442</v>
      </c>
      <c r="C429" s="523"/>
      <c r="D429" s="248">
        <v>1</v>
      </c>
      <c r="E429" s="256">
        <v>7730</v>
      </c>
      <c r="F429" s="1"/>
      <c r="H429" s="273"/>
      <c r="I429" s="357"/>
      <c r="J429" s="273"/>
      <c r="K429" s="357"/>
    </row>
    <row r="430" spans="1:11" ht="15.75" thickBot="1">
      <c r="A430" s="250"/>
      <c r="B430" s="524" t="s">
        <v>174</v>
      </c>
      <c r="C430" s="525"/>
      <c r="D430" s="257"/>
      <c r="E430" s="258">
        <v>35925.42</v>
      </c>
      <c r="F430" s="1"/>
      <c r="H430" s="380"/>
      <c r="I430" s="273"/>
      <c r="J430" s="380"/>
      <c r="K430" s="273"/>
    </row>
    <row r="431" spans="1:11">
      <c r="A431" s="240"/>
      <c r="B431" s="526" t="s">
        <v>443</v>
      </c>
      <c r="C431" s="527"/>
      <c r="D431" s="259"/>
      <c r="E431" s="260"/>
      <c r="F431" s="1"/>
      <c r="H431" s="273"/>
      <c r="I431" s="273"/>
      <c r="J431" s="273"/>
      <c r="K431" s="273"/>
    </row>
    <row r="432" spans="1:11">
      <c r="A432" s="240">
        <v>10</v>
      </c>
      <c r="B432" s="528" t="s">
        <v>444</v>
      </c>
      <c r="C432" s="529"/>
      <c r="D432" s="210">
        <v>1</v>
      </c>
      <c r="E432" s="261">
        <v>28000</v>
      </c>
      <c r="F432" s="1"/>
      <c r="H432" s="273"/>
      <c r="I432" s="273"/>
      <c r="J432" s="273"/>
      <c r="K432" s="273"/>
    </row>
    <row r="433" spans="1:11">
      <c r="A433" s="240">
        <v>11</v>
      </c>
      <c r="B433" s="540" t="s">
        <v>445</v>
      </c>
      <c r="C433" s="541"/>
      <c r="D433" s="210">
        <v>1</v>
      </c>
      <c r="E433" s="261">
        <v>36958.800000000003</v>
      </c>
      <c r="F433" s="1"/>
      <c r="H433" s="534"/>
      <c r="I433" s="534"/>
      <c r="J433" s="534"/>
      <c r="K433" s="534"/>
    </row>
    <row r="434" spans="1:11" ht="15" customHeight="1">
      <c r="A434" s="240">
        <v>12</v>
      </c>
      <c r="B434" s="540" t="s">
        <v>411</v>
      </c>
      <c r="C434" s="541"/>
      <c r="D434" s="210">
        <v>1</v>
      </c>
      <c r="E434" s="261">
        <v>3283</v>
      </c>
      <c r="F434" s="1"/>
      <c r="H434" s="544"/>
      <c r="I434" s="544"/>
      <c r="J434" s="545"/>
      <c r="K434" s="273"/>
    </row>
    <row r="435" spans="1:11">
      <c r="A435" s="240">
        <v>13</v>
      </c>
      <c r="B435" s="540" t="s">
        <v>446</v>
      </c>
      <c r="C435" s="541"/>
      <c r="D435" s="210">
        <v>1</v>
      </c>
      <c r="E435" s="262">
        <v>999</v>
      </c>
      <c r="F435" s="1"/>
      <c r="H435" s="544"/>
      <c r="I435" s="544"/>
      <c r="J435" s="545"/>
      <c r="K435" s="273"/>
    </row>
    <row r="436" spans="1:11" ht="15.75" thickBot="1">
      <c r="A436" s="263">
        <v>14</v>
      </c>
      <c r="B436" s="542" t="s">
        <v>447</v>
      </c>
      <c r="C436" s="543"/>
      <c r="D436" s="223">
        <v>1</v>
      </c>
      <c r="E436" s="264">
        <v>1023.61</v>
      </c>
      <c r="F436" s="1"/>
      <c r="H436" s="546"/>
      <c r="I436" s="546"/>
      <c r="J436" s="273"/>
      <c r="K436" s="273"/>
    </row>
    <row r="437" spans="1:11" ht="15.75" thickBot="1">
      <c r="A437" s="250"/>
      <c r="B437" s="538" t="s">
        <v>174</v>
      </c>
      <c r="C437" s="539"/>
      <c r="D437" s="257"/>
      <c r="E437" s="258">
        <v>70264.41</v>
      </c>
      <c r="F437" s="1"/>
      <c r="H437" s="547"/>
      <c r="I437" s="547"/>
      <c r="J437" s="381"/>
      <c r="K437" s="273"/>
    </row>
    <row r="438" spans="1:11">
      <c r="A438" s="240"/>
      <c r="B438" s="526" t="s">
        <v>448</v>
      </c>
      <c r="C438" s="527"/>
      <c r="D438" s="259"/>
      <c r="E438" s="260"/>
      <c r="F438" s="1"/>
      <c r="H438" s="273"/>
      <c r="I438" s="273"/>
      <c r="J438" s="273"/>
      <c r="K438" s="273"/>
    </row>
    <row r="439" spans="1:11">
      <c r="A439" s="240">
        <v>15</v>
      </c>
      <c r="B439" s="536" t="s">
        <v>449</v>
      </c>
      <c r="C439" s="536"/>
      <c r="D439" s="210">
        <v>1</v>
      </c>
      <c r="E439" s="261">
        <v>3626.5</v>
      </c>
      <c r="F439" s="1"/>
      <c r="H439" s="273"/>
      <c r="I439" s="273"/>
      <c r="J439" s="273"/>
      <c r="K439" s="273"/>
    </row>
    <row r="440" spans="1:11">
      <c r="A440" s="243">
        <v>16</v>
      </c>
      <c r="B440" s="536" t="s">
        <v>450</v>
      </c>
      <c r="C440" s="536"/>
      <c r="D440" s="210">
        <v>1</v>
      </c>
      <c r="E440" s="261">
        <v>4589</v>
      </c>
      <c r="F440" s="1"/>
      <c r="H440" s="273"/>
      <c r="I440" s="273"/>
      <c r="J440" s="273"/>
      <c r="K440" s="273"/>
    </row>
    <row r="441" spans="1:11">
      <c r="A441" s="243">
        <v>17</v>
      </c>
      <c r="B441" s="536" t="s">
        <v>410</v>
      </c>
      <c r="C441" s="536"/>
      <c r="D441" s="210">
        <v>1</v>
      </c>
      <c r="E441" s="261">
        <v>4499</v>
      </c>
      <c r="F441" s="1"/>
      <c r="H441" s="273"/>
      <c r="I441" s="273"/>
      <c r="J441" s="273"/>
      <c r="K441" s="273"/>
    </row>
    <row r="442" spans="1:11" ht="15.75" thickBot="1">
      <c r="A442" s="247">
        <v>18</v>
      </c>
      <c r="B442" s="537" t="s">
        <v>411</v>
      </c>
      <c r="C442" s="537"/>
      <c r="D442" s="223">
        <v>1</v>
      </c>
      <c r="E442" s="265">
        <v>3610</v>
      </c>
      <c r="F442" s="1"/>
      <c r="H442" s="273"/>
      <c r="I442" s="273"/>
      <c r="J442" s="273"/>
      <c r="K442" s="273"/>
    </row>
    <row r="443" spans="1:11" ht="15.75" thickBot="1">
      <c r="A443" s="250"/>
      <c r="B443" s="538" t="s">
        <v>174</v>
      </c>
      <c r="C443" s="539"/>
      <c r="D443" s="251"/>
      <c r="E443" s="258">
        <v>16324.5</v>
      </c>
      <c r="F443" s="1"/>
      <c r="H443" s="273"/>
      <c r="I443" s="273"/>
      <c r="J443" s="273"/>
      <c r="K443" s="273"/>
    </row>
    <row r="444" spans="1:11" ht="15.75" thickBot="1">
      <c r="A444" s="266"/>
      <c r="B444" s="524" t="s">
        <v>451</v>
      </c>
      <c r="C444" s="525"/>
      <c r="D444" s="267"/>
      <c r="E444" s="268">
        <v>182949.33000000002</v>
      </c>
      <c r="F444" s="1"/>
      <c r="H444" s="273"/>
      <c r="I444" s="273"/>
      <c r="J444" s="273"/>
      <c r="K444" s="273"/>
    </row>
    <row r="445" spans="1:11">
      <c r="A445" s="74"/>
      <c r="B445" s="74"/>
      <c r="C445" s="74"/>
      <c r="D445" s="74"/>
      <c r="E445" s="74"/>
      <c r="F445" s="1"/>
      <c r="H445" s="273"/>
      <c r="I445" s="273"/>
      <c r="J445" s="273"/>
      <c r="K445" s="273"/>
    </row>
    <row r="446" spans="1:11">
      <c r="A446" s="535" t="s">
        <v>452</v>
      </c>
      <c r="B446" s="535"/>
      <c r="C446" s="535"/>
      <c r="D446" s="535"/>
      <c r="E446" s="535"/>
      <c r="F446" s="1"/>
      <c r="H446" s="273"/>
      <c r="I446" s="273"/>
      <c r="J446" s="273"/>
      <c r="K446" s="273"/>
    </row>
    <row r="447" spans="1:11">
      <c r="A447" s="1"/>
      <c r="B447" s="1"/>
      <c r="C447" s="1"/>
      <c r="D447" s="1"/>
      <c r="E447" s="1"/>
      <c r="F447" s="1"/>
      <c r="H447" s="273"/>
      <c r="I447" s="273"/>
      <c r="J447" s="273"/>
      <c r="K447" s="273"/>
    </row>
    <row r="448" spans="1:11">
      <c r="A448" s="1"/>
      <c r="B448" s="1"/>
      <c r="C448" s="1"/>
      <c r="D448" s="1"/>
      <c r="E448" s="1"/>
      <c r="F448" s="1"/>
      <c r="H448" s="273"/>
      <c r="I448" s="273"/>
      <c r="J448" s="273"/>
      <c r="K448" s="273"/>
    </row>
    <row r="449" spans="1:11">
      <c r="A449" s="1"/>
      <c r="B449" s="1"/>
      <c r="C449" s="1"/>
      <c r="D449" s="1"/>
      <c r="E449" s="1"/>
      <c r="F449" s="1"/>
      <c r="H449" s="273"/>
      <c r="I449" s="273"/>
      <c r="J449" s="273"/>
      <c r="K449" s="273"/>
    </row>
    <row r="450" spans="1:11">
      <c r="A450" s="1"/>
      <c r="B450" s="1"/>
      <c r="C450" s="1"/>
      <c r="D450" s="1"/>
      <c r="E450" s="1"/>
      <c r="F450" s="1"/>
      <c r="H450" s="273"/>
      <c r="I450" s="273"/>
      <c r="J450" s="273"/>
      <c r="K450" s="273"/>
    </row>
    <row r="451" spans="1:11">
      <c r="A451" s="1"/>
      <c r="B451" s="1"/>
      <c r="C451" s="1"/>
      <c r="D451" s="1"/>
      <c r="E451" s="1"/>
      <c r="F451" s="1"/>
      <c r="H451" s="113"/>
      <c r="I451" s="113"/>
      <c r="J451" s="113"/>
      <c r="K451" s="113"/>
    </row>
    <row r="452" spans="1:11">
      <c r="A452" s="1"/>
      <c r="B452" s="1"/>
      <c r="C452" s="1"/>
      <c r="D452" s="1"/>
      <c r="E452" s="1"/>
      <c r="F452" s="1"/>
      <c r="H452" s="113"/>
      <c r="I452" s="113"/>
      <c r="J452" s="113"/>
      <c r="K452" s="113"/>
    </row>
    <row r="453" spans="1:11">
      <c r="A453" s="1"/>
      <c r="B453" s="1"/>
      <c r="C453" s="1"/>
      <c r="D453" s="1"/>
      <c r="E453" s="1"/>
      <c r="F453" s="1"/>
      <c r="H453" s="113"/>
      <c r="I453" s="113"/>
      <c r="J453" s="113"/>
      <c r="K453" s="113"/>
    </row>
    <row r="454" spans="1:11">
      <c r="A454" s="1"/>
      <c r="B454" s="1"/>
      <c r="C454" s="1"/>
      <c r="D454" s="1"/>
      <c r="E454" s="1"/>
      <c r="F454" s="1"/>
    </row>
  </sheetData>
  <mergeCells count="175">
    <mergeCell ref="H5:J5"/>
    <mergeCell ref="H222:H223"/>
    <mergeCell ref="I222:I223"/>
    <mergeCell ref="J222:J223"/>
    <mergeCell ref="H207:H208"/>
    <mergeCell ref="I207:I208"/>
    <mergeCell ref="J207:J208"/>
    <mergeCell ref="H166:H167"/>
    <mergeCell ref="I166:I167"/>
    <mergeCell ref="J166:J167"/>
    <mergeCell ref="H6:H7"/>
    <mergeCell ref="I6:I7"/>
    <mergeCell ref="J6:J7"/>
    <mergeCell ref="I382:I383"/>
    <mergeCell ref="J382:J383"/>
    <mergeCell ref="H261:H262"/>
    <mergeCell ref="I261:I262"/>
    <mergeCell ref="J261:J262"/>
    <mergeCell ref="H226:H227"/>
    <mergeCell ref="I226:I227"/>
    <mergeCell ref="J226:J227"/>
    <mergeCell ref="I288:I289"/>
    <mergeCell ref="J288:J289"/>
    <mergeCell ref="H292:H293"/>
    <mergeCell ref="I292:I293"/>
    <mergeCell ref="J292:J293"/>
    <mergeCell ref="H344:H345"/>
    <mergeCell ref="I344:I345"/>
    <mergeCell ref="J344:J345"/>
    <mergeCell ref="H354:H355"/>
    <mergeCell ref="I354:I355"/>
    <mergeCell ref="J354:J355"/>
    <mergeCell ref="H288:H289"/>
    <mergeCell ref="F354:F355"/>
    <mergeCell ref="F344:F345"/>
    <mergeCell ref="F292:F293"/>
    <mergeCell ref="F288:F289"/>
    <mergeCell ref="F276:F277"/>
    <mergeCell ref="F261:F262"/>
    <mergeCell ref="F226:F227"/>
    <mergeCell ref="F285:F286"/>
    <mergeCell ref="H382:H383"/>
    <mergeCell ref="F382:F383"/>
    <mergeCell ref="F152:F156"/>
    <mergeCell ref="F145:F146"/>
    <mergeCell ref="F143:F144"/>
    <mergeCell ref="F6:F7"/>
    <mergeCell ref="H276:H277"/>
    <mergeCell ref="I276:I277"/>
    <mergeCell ref="J276:J277"/>
    <mergeCell ref="F224:F225"/>
    <mergeCell ref="H143:H144"/>
    <mergeCell ref="I143:I144"/>
    <mergeCell ref="J143:J144"/>
    <mergeCell ref="H128:H129"/>
    <mergeCell ref="I128:I129"/>
    <mergeCell ref="J128:J129"/>
    <mergeCell ref="F158:F164"/>
    <mergeCell ref="F147:F149"/>
    <mergeCell ref="H417:I417"/>
    <mergeCell ref="J417:K417"/>
    <mergeCell ref="A446:E446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H433:K433"/>
    <mergeCell ref="H434:I435"/>
    <mergeCell ref="J434:J435"/>
    <mergeCell ref="H436:I436"/>
    <mergeCell ref="H437:I437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7:C417"/>
    <mergeCell ref="B418:C418"/>
    <mergeCell ref="B419:C419"/>
    <mergeCell ref="B420:C420"/>
    <mergeCell ref="A354:A355"/>
    <mergeCell ref="B354:B355"/>
    <mergeCell ref="C354:C355"/>
    <mergeCell ref="D354:D355"/>
    <mergeCell ref="E354:E355"/>
    <mergeCell ref="A382:A383"/>
    <mergeCell ref="B382:B383"/>
    <mergeCell ref="C382:C383"/>
    <mergeCell ref="D382:D383"/>
    <mergeCell ref="E382:E383"/>
    <mergeCell ref="A344:A345"/>
    <mergeCell ref="B344:B345"/>
    <mergeCell ref="C344:C345"/>
    <mergeCell ref="D344:D345"/>
    <mergeCell ref="E344:E345"/>
    <mergeCell ref="A292:A293"/>
    <mergeCell ref="B292:B293"/>
    <mergeCell ref="C292:C293"/>
    <mergeCell ref="D292:D293"/>
    <mergeCell ref="E292:E293"/>
    <mergeCell ref="A288:A289"/>
    <mergeCell ref="B288:B289"/>
    <mergeCell ref="C288:C289"/>
    <mergeCell ref="D288:D289"/>
    <mergeCell ref="E288:E289"/>
    <mergeCell ref="A3:F3"/>
    <mergeCell ref="A276:A277"/>
    <mergeCell ref="B276:B277"/>
    <mergeCell ref="C276:C277"/>
    <mergeCell ref="D276:D277"/>
    <mergeCell ref="E276:E277"/>
    <mergeCell ref="A261:A262"/>
    <mergeCell ref="B261:B262"/>
    <mergeCell ref="C261:C262"/>
    <mergeCell ref="D261:D262"/>
    <mergeCell ref="E261:E262"/>
    <mergeCell ref="F222:F223"/>
    <mergeCell ref="F166:F167"/>
    <mergeCell ref="C222:C223"/>
    <mergeCell ref="D222:D223"/>
    <mergeCell ref="E222:E223"/>
    <mergeCell ref="A6:A7"/>
    <mergeCell ref="B6:B7"/>
    <mergeCell ref="C6:C7"/>
    <mergeCell ref="D6:D7"/>
    <mergeCell ref="E6:E7"/>
    <mergeCell ref="A166:A167"/>
    <mergeCell ref="B166:B167"/>
    <mergeCell ref="C166:C167"/>
    <mergeCell ref="D166:D167"/>
    <mergeCell ref="E166:E167"/>
    <mergeCell ref="A143:A144"/>
    <mergeCell ref="B143:B144"/>
    <mergeCell ref="C143:C144"/>
    <mergeCell ref="D143:D144"/>
    <mergeCell ref="E143:E144"/>
    <mergeCell ref="E1:F1"/>
    <mergeCell ref="A226:A227"/>
    <mergeCell ref="B226:B227"/>
    <mergeCell ref="A128:A129"/>
    <mergeCell ref="B128:B129"/>
    <mergeCell ref="C128:C129"/>
    <mergeCell ref="D128:D129"/>
    <mergeCell ref="E128:E129"/>
    <mergeCell ref="F128:F129"/>
    <mergeCell ref="A209:A210"/>
    <mergeCell ref="B209:B210"/>
    <mergeCell ref="C209:C210"/>
    <mergeCell ref="F209:F221"/>
    <mergeCell ref="A207:A208"/>
    <mergeCell ref="B207:B208"/>
    <mergeCell ref="C207:C208"/>
    <mergeCell ref="D207:D208"/>
    <mergeCell ref="E207:E208"/>
    <mergeCell ref="F207:F208"/>
    <mergeCell ref="C226:C227"/>
    <mergeCell ref="D226:D227"/>
    <mergeCell ref="E226:E227"/>
    <mergeCell ref="A222:A223"/>
    <mergeCell ref="B222:B223"/>
  </mergeCells>
  <pageMargins left="0.11811023622047245" right="0" top="0.35433070866141736" bottom="0.35433070866141736" header="0.3149606299212598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Лара</dc:creator>
  <cp:lastModifiedBy>Лара</cp:lastModifiedBy>
  <cp:lastPrinted>2023-03-20T06:17:58Z</cp:lastPrinted>
  <dcterms:created xsi:type="dcterms:W3CDTF">2022-10-05T10:12:48Z</dcterms:created>
  <dcterms:modified xsi:type="dcterms:W3CDTF">2023-03-20T06:20:03Z</dcterms:modified>
</cp:coreProperties>
</file>